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1355" windowHeight="7860" tabRatio="920" activeTab="1"/>
  </bookViews>
  <sheets>
    <sheet name="kl mong" sheetId="1" r:id="rId1"/>
    <sheet name="kl cot" sheetId="2" r:id="rId2"/>
    <sheet name="kl dam" sheetId="3" r:id="rId3"/>
    <sheet name="kl san" sheetId="4" r:id="rId4"/>
    <sheet name="kl xay" sheetId="5" r:id="rId5"/>
    <sheet name="kl lanh to, thang" sheetId="6" r:id="rId6"/>
    <sheet name="hoa sat " sheetId="7" r:id="rId7"/>
    <sheet name="lan can" sheetId="8" r:id="rId8"/>
    <sheet name="kl cua" sheetId="9" r:id="rId9"/>
    <sheet name="kl thep" sheetId="10" r:id="rId10"/>
  </sheets>
  <definedNames>
    <definedName name="a">#REF!</definedName>
    <definedName name="bang1">#REF!</definedName>
    <definedName name="bcktktbtg">#REF!</definedName>
    <definedName name="bcktktx">#REF!</definedName>
    <definedName name="bcktkty1">#REF!</definedName>
    <definedName name="bcktkty2">#REF!</definedName>
    <definedName name="bcktkty3">#REF!</definedName>
    <definedName name="bcktkty4">#REF!</definedName>
    <definedName name="bcktkty5">#REF!</definedName>
    <definedName name="BTK">#REF!</definedName>
    <definedName name="CachtinhCN1">#REF!</definedName>
    <definedName name="CachtinhCN2">#REF!</definedName>
    <definedName name="CachtinhCPLBCKTKT">#REF!</definedName>
    <definedName name="CachtinhCPLDADT">#REF!</definedName>
    <definedName name="CachtinhCPTKHTKT1">#REF!</definedName>
    <definedName name="CachtinhCPTKHTKT2">#REF!</definedName>
    <definedName name="CachtinhCPTKKT">#REF!</definedName>
    <definedName name="CachtinhCPTKTC">#REF!</definedName>
    <definedName name="CachtinhCPTTTKBVTC">#REF!</definedName>
    <definedName name="CachtinhCPTTTKKT">#REF!</definedName>
    <definedName name="CCT">#REF!</definedName>
    <definedName name="ChiphiHTKT2">#REF!</definedName>
    <definedName name="ChiphiLapBCKTKT">#REF!</definedName>
    <definedName name="ChiphiLapDADT">#REF!</definedName>
    <definedName name="ChiphithamdinhKQDT">#REF!</definedName>
    <definedName name="ChiphiThamtraTKBVTC">#REF!</definedName>
    <definedName name="ChiphiThamtraTKKT">#REF!</definedName>
    <definedName name="ChiphiThietkeKythuat">#REF!</definedName>
    <definedName name="ChiphiThietkeToChucThiCong">#REF!</definedName>
    <definedName name="ChiphiTKCTCapngam">#REF!</definedName>
    <definedName name="ChiphiTKCTCNkhac">#REF!</definedName>
    <definedName name="ChiphiTKHTKT1">#REF!</definedName>
    <definedName name="CLVC3">0.1</definedName>
    <definedName name="CN1btg">#REF!</definedName>
    <definedName name="CN1x">#REF!</definedName>
    <definedName name="CN1y1">#REF!</definedName>
    <definedName name="CN1y2">#REF!</definedName>
    <definedName name="CN1y3">#REF!</definedName>
    <definedName name="CN2btg">#REF!</definedName>
    <definedName name="CN2x">#REF!</definedName>
    <definedName name="CN2y1">#REF!</definedName>
    <definedName name="CN2y2">#REF!</definedName>
    <definedName name="CN2y3">#REF!</definedName>
    <definedName name="CN2y4">#REF!</definedName>
    <definedName name="CN2y5">#REF!</definedName>
    <definedName name="CPDGHSMTTB">#REF!</definedName>
    <definedName name="CPDGHSMTXD">#REF!</definedName>
    <definedName name="CPGSLDTB">#REF!</definedName>
    <definedName name="CPGSTCXD">#REF!</definedName>
    <definedName name="CPKTVDT">#REF!</definedName>
    <definedName name="CPLBCKTKT">#REF!</definedName>
    <definedName name="CPLHSMTTB">#REF!</definedName>
    <definedName name="CPLHSMTXD">#REF!</definedName>
    <definedName name="CPQLDA">#REF!</definedName>
    <definedName name="CPTDKQDT">#REF!</definedName>
    <definedName name="CPTKCN1">#REF!</definedName>
    <definedName name="CPTKCN2">#REF!</definedName>
    <definedName name="CPTKHTKT1">#REF!</definedName>
    <definedName name="CPTKHTKT2">#REF!</definedName>
    <definedName name="CPTTDT">#REF!</definedName>
    <definedName name="CPTTQTVDT">#REF!</definedName>
    <definedName name="DMCPGSLDTB">#REF!</definedName>
    <definedName name="DMCPGSTCXD">#REF!</definedName>
    <definedName name="DMCPHSMTMS">#REF!</definedName>
    <definedName name="DMCPHSMTTC">#REF!</definedName>
    <definedName name="DMCPKT">#REF!</definedName>
    <definedName name="DMCPLBCKTKT">#REF!</definedName>
    <definedName name="DMCPLDA">#REF!</definedName>
    <definedName name="DMCPLHSMT">#REF!</definedName>
    <definedName name="DMCPQLDA">#REF!</definedName>
    <definedName name="DMCPTKHTKT1">#REF!</definedName>
    <definedName name="DMCPTKKT">#REF!</definedName>
    <definedName name="DMCPTKTC">#REF!</definedName>
    <definedName name="DMCPTTDT">#REF!</definedName>
    <definedName name="DMCPTTHQKT">#REF!</definedName>
    <definedName name="DMCPTTQT">#REF!</definedName>
    <definedName name="DMCPTTTKBVTC">#REF!</definedName>
    <definedName name="DMCPTTTKKT">#REF!</definedName>
    <definedName name="GIATB">#REF!</definedName>
    <definedName name="gstbbtg">#REF!</definedName>
    <definedName name="gstbx">#REF!</definedName>
    <definedName name="gstby1">#REF!</definedName>
    <definedName name="gstby2">#REF!</definedName>
    <definedName name="gstby3">#REF!</definedName>
    <definedName name="gstby4">#REF!</definedName>
    <definedName name="gstby5">#REF!</definedName>
    <definedName name="gsxdbtg">#REF!</definedName>
    <definedName name="gsxdx">#REF!</definedName>
    <definedName name="gsxdy1">#REF!</definedName>
    <definedName name="gsxdy2">#REF!</definedName>
    <definedName name="gsxdy3">#REF!</definedName>
    <definedName name="gsxdy4">#REF!</definedName>
    <definedName name="gsxdy5">#REF!</definedName>
    <definedName name="GTCPTTTKBVTC">#REF!</definedName>
    <definedName name="GTCPTTTKKT">#REF!</definedName>
    <definedName name="hsmtbtg">#REF!</definedName>
    <definedName name="hsmttbbtg">#REF!</definedName>
    <definedName name="hsmttbx">#REF!</definedName>
    <definedName name="hsmttby1">#REF!</definedName>
    <definedName name="hsmttby2">#REF!</definedName>
    <definedName name="hsmttby3">#REF!</definedName>
    <definedName name="hsmttby4">#REF!</definedName>
    <definedName name="hsmttby5">#REF!</definedName>
    <definedName name="hsmtx">#REF!</definedName>
    <definedName name="hsmty1">#REF!</definedName>
    <definedName name="hsmty2">#REF!</definedName>
    <definedName name="hsmty3">#REF!</definedName>
    <definedName name="hsmty4">#REF!</definedName>
    <definedName name="hsmty5">#REF!</definedName>
    <definedName name="HTKT1btg">#REF!</definedName>
    <definedName name="HTKT1x">#REF!</definedName>
    <definedName name="HTKT1y1">#REF!</definedName>
    <definedName name="HTKT1y2">#REF!</definedName>
    <definedName name="HTKT1y3">#REF!</definedName>
    <definedName name="HTKT2btg">#REF!</definedName>
    <definedName name="HTKT2x">#REF!</definedName>
    <definedName name="HTKT2y1">#REF!</definedName>
    <definedName name="HTKT2y2">#REF!</definedName>
    <definedName name="HTKT2y3">#REF!</definedName>
    <definedName name="HTKT2y4">#REF!</definedName>
    <definedName name="HTKT2y5">#REF!</definedName>
    <definedName name="HTKT2y6">#REF!</definedName>
    <definedName name="HTKT2y7">#REF!</definedName>
    <definedName name="HTKT2y8">#REF!</definedName>
    <definedName name="HTKT2y9">#REF!</definedName>
    <definedName name="KTVDT">#REF!</definedName>
    <definedName name="LCT">#REF!</definedName>
    <definedName name="ldabtg">#REF!</definedName>
    <definedName name="ldax">#REF!</definedName>
    <definedName name="lday1">#REF!</definedName>
    <definedName name="lday2">#REF!</definedName>
    <definedName name="lday3">#REF!</definedName>
    <definedName name="lday4">#REF!</definedName>
    <definedName name="lday5">#REF!</definedName>
    <definedName name="_xlnm.Print_Area" localSheetId="5">'kl lanh to, thang'!$A$1:$I$46</definedName>
    <definedName name="_xlnm.Print_Area" localSheetId="9">'kl thep'!$A$1:$I$62</definedName>
    <definedName name="_xlnm.Print_Area" localSheetId="4">'kl xay'!$A$1:$M$138</definedName>
    <definedName name="_xlnm.Print_Titles" localSheetId="2">'kl dam'!$1:$4</definedName>
    <definedName name="_xlnm.Print_Titles" localSheetId="5">'kl lanh to, thang'!$1:$4</definedName>
    <definedName name="_xlnm.Print_Titles" localSheetId="0">'kl mong'!$1:$4</definedName>
    <definedName name="_xlnm.Print_Titles" localSheetId="3">'kl san'!$1:$4</definedName>
    <definedName name="_xlnm.Print_Titles" localSheetId="4">'kl xay'!$1:$4</definedName>
    <definedName name="_xlnm.Print_Titles">#N/A</definedName>
    <definedName name="qldabtg">#REF!</definedName>
    <definedName name="qldax">#REF!</definedName>
    <definedName name="qlday1">#REF!</definedName>
    <definedName name="qlday2">#REF!</definedName>
    <definedName name="qlday3">#REF!</definedName>
    <definedName name="qlday4">#REF!</definedName>
    <definedName name="qlday5">#REF!</definedName>
    <definedName name="TaxTV">10%</definedName>
    <definedName name="TaxXL">5%</definedName>
    <definedName name="tb">#REF!</definedName>
    <definedName name="tkcn2btg">#REF!</definedName>
    <definedName name="tkcn2x">#REF!</definedName>
    <definedName name="tkcn2y1">#REF!</definedName>
    <definedName name="tkcn2y2">#REF!</definedName>
    <definedName name="tkcn2y3">#REF!</definedName>
    <definedName name="tkcn2y4">#REF!</definedName>
    <definedName name="tkcn2y5">#REF!</definedName>
    <definedName name="tkcn3btg">#REF!</definedName>
    <definedName name="tkcn3x">#REF!</definedName>
    <definedName name="tkcn3y1">#REF!</definedName>
    <definedName name="tkcn3y2">#REF!</definedName>
    <definedName name="tkcn3y3">#REF!</definedName>
    <definedName name="tkcn3y4">#REF!</definedName>
    <definedName name="tkcn3y5">#REF!</definedName>
    <definedName name="tkdd2btg">#REF!</definedName>
    <definedName name="tkdd2x">#REF!</definedName>
    <definedName name="tkdd2y1">#REF!</definedName>
    <definedName name="tkdd2y2">#REF!</definedName>
    <definedName name="tkdd2y3">#REF!</definedName>
    <definedName name="tkdd2y4">#REF!</definedName>
    <definedName name="tkdd2y5">#REF!</definedName>
    <definedName name="tkdd3btg">#REF!</definedName>
    <definedName name="tkdd3x">#REF!</definedName>
    <definedName name="tkdd3y1">#REF!</definedName>
    <definedName name="tkdd3y2">#REF!</definedName>
    <definedName name="tkdd3y3">#REF!</definedName>
    <definedName name="tkdd3y4">#REF!</definedName>
    <definedName name="tkdd3y5">#REF!</definedName>
    <definedName name="tkgt2btg">#REF!</definedName>
    <definedName name="tkgt2x">#REF!</definedName>
    <definedName name="tkgt2y1">#REF!</definedName>
    <definedName name="tkgt2y2">#REF!</definedName>
    <definedName name="tkgt2y3">#REF!</definedName>
    <definedName name="tkgt2y4">#REF!</definedName>
    <definedName name="tkgt2y5">#REF!</definedName>
    <definedName name="tkgt3btg">#REF!</definedName>
    <definedName name="tkgt3x">#REF!</definedName>
    <definedName name="tkgt3y1">#REF!</definedName>
    <definedName name="tkgt3y2">#REF!</definedName>
    <definedName name="tkgt3y3">#REF!</definedName>
    <definedName name="tkgt3y4">#REF!</definedName>
    <definedName name="tkgt3y5">#REF!</definedName>
    <definedName name="tkhtkt2btg">#REF!</definedName>
    <definedName name="tkhtkt2x">#REF!</definedName>
    <definedName name="tkhtkt2y1">#REF!</definedName>
    <definedName name="tkhtkt2y2">#REF!</definedName>
    <definedName name="tkhtkt2y3">#REF!</definedName>
    <definedName name="tkhtkt2y4">#REF!</definedName>
    <definedName name="tkhtkt2y5">#REF!</definedName>
    <definedName name="tkhtkt3btg">#REF!</definedName>
    <definedName name="tkhtkt3x">#REF!</definedName>
    <definedName name="tkhtkt3y1">#REF!</definedName>
    <definedName name="tkhtkt3y2">#REF!</definedName>
    <definedName name="tkhtkt3y3">#REF!</definedName>
    <definedName name="tkhtkt3y4">#REF!</definedName>
    <definedName name="tkhtkt3y5">#REF!</definedName>
    <definedName name="tktl2btg">#REF!</definedName>
    <definedName name="tktl2x">#REF!</definedName>
    <definedName name="tktl2y1">#REF!</definedName>
    <definedName name="tktl2y2">#REF!</definedName>
    <definedName name="tktl2y3">#REF!</definedName>
    <definedName name="tktl2y4">#REF!</definedName>
    <definedName name="tktl2y5">#REF!</definedName>
    <definedName name="tktl3btg">#REF!</definedName>
    <definedName name="tktl3x">#REF!</definedName>
    <definedName name="tktl3y1">#REF!</definedName>
    <definedName name="tktl3y2">#REF!</definedName>
    <definedName name="tktl3y3">#REF!</definedName>
    <definedName name="tktl3y4">#REF!</definedName>
    <definedName name="tktl3y5">#REF!</definedName>
    <definedName name="tmdt">#REF!</definedName>
    <definedName name="TTPDQTVDT">#REF!</definedName>
    <definedName name="TTQTVDTbtg">#REF!</definedName>
    <definedName name="TTQTVDTx">#REF!</definedName>
    <definedName name="Ttradtbtg">#REF!</definedName>
    <definedName name="Ttradtx">#REF!</definedName>
    <definedName name="Ttradty1">#REF!</definedName>
    <definedName name="Ttradty2">#REF!</definedName>
    <definedName name="Ttradty3">#REF!</definedName>
    <definedName name="Ttradty4">#REF!</definedName>
    <definedName name="Ttradty5">#REF!</definedName>
    <definedName name="Ttrahqktbtg">#REF!</definedName>
    <definedName name="Ttrahqktx">#REF!</definedName>
    <definedName name="Ttrahqkty1">#REF!</definedName>
    <definedName name="Ttrahqkty2">#REF!</definedName>
    <definedName name="Ttrahqkty3">#REF!</definedName>
    <definedName name="Ttrahqkty4">#REF!</definedName>
    <definedName name="Ttrahqkty5">#REF!</definedName>
    <definedName name="Ttratkbtg">#REF!</definedName>
    <definedName name="Ttratkx">#REF!</definedName>
    <definedName name="Ttratky1">#REF!</definedName>
    <definedName name="Ttratky2">#REF!</definedName>
    <definedName name="Ttratky3">#REF!</definedName>
    <definedName name="Ttratky4">#REF!</definedName>
    <definedName name="Ttratky5">#REF!</definedName>
    <definedName name="xd">#REF!</definedName>
    <definedName name="xl">#REF!</definedName>
    <definedName name="XLTB">#REF!</definedName>
  </definedNames>
  <calcPr fullCalcOnLoad="1"/>
</workbook>
</file>

<file path=xl/comments1.xml><?xml version="1.0" encoding="utf-8"?>
<comments xmlns="http://schemas.openxmlformats.org/spreadsheetml/2006/main">
  <authors>
    <author>Dutoan Club</author>
  </authors>
  <commentList>
    <comment ref="L4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Cote tự nhiên = Cote vỉa hè - lớp áo vỉa hè</t>
        </r>
      </text>
    </comment>
    <comment ref="M4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Xem mặt cắt móng</t>
        </r>
      </text>
    </comment>
    <comment ref="K4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Hệ số đào thêm tauy</t>
        </r>
      </text>
    </comment>
    <comment ref="M5" authorId="0">
      <text>
        <r>
          <rPr>
            <sz val="9"/>
            <rFont val="Tahoma"/>
            <family val="2"/>
          </rPr>
          <t>Khoảng mở rộng của bê tông lót</t>
        </r>
      </text>
    </comment>
    <comment ref="O4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Số lần giao với bê tông lót móng</t>
        </r>
      </text>
    </comment>
    <comment ref="C81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Đóng ván khuôn 2 cạnh bên</t>
        </r>
      </text>
    </comment>
  </commentList>
</comments>
</file>

<file path=xl/comments2.xml><?xml version="1.0" encoding="utf-8"?>
<comments xmlns="http://schemas.openxmlformats.org/spreadsheetml/2006/main">
  <authors>
    <author>Dutoan Club</author>
  </authors>
  <commentList>
    <comment ref="P6" authorId="0">
      <text>
        <r>
          <rPr>
            <b/>
            <sz val="9"/>
            <rFont val="Tahoma"/>
            <family val="2"/>
          </rPr>
          <t>Dutoan Club:</t>
        </r>
        <r>
          <rPr>
            <sz val="9"/>
            <rFont val="Tahoma"/>
            <family val="2"/>
          </rPr>
          <t xml:space="preserve">
Trừ diện tích giao với tường theo tỷ lệ cột và tường giao nhau</t>
        </r>
      </text>
    </comment>
  </commentList>
</comments>
</file>

<file path=xl/sharedStrings.xml><?xml version="1.0" encoding="utf-8"?>
<sst xmlns="http://schemas.openxmlformats.org/spreadsheetml/2006/main" count="746" uniqueCount="391">
  <si>
    <t>« tho¸ng</t>
  </si>
  <si>
    <t>Stt</t>
  </si>
  <si>
    <t xml:space="preserve"> SL</t>
  </si>
  <si>
    <t xml:space="preserve"> m3 </t>
  </si>
  <si>
    <t>MB1</t>
  </si>
  <si>
    <t>MB2</t>
  </si>
  <si>
    <t>Hoa sắt thép hôp 14x14</t>
  </si>
  <si>
    <t>Lan can 04</t>
  </si>
  <si>
    <t>D80</t>
  </si>
  <si>
    <t>D25</t>
  </si>
  <si>
    <t>Lan can 05</t>
  </si>
  <si>
    <t>MB2A</t>
  </si>
  <si>
    <t>MB3A</t>
  </si>
  <si>
    <t>MB4</t>
  </si>
  <si>
    <t>MB4A</t>
  </si>
  <si>
    <t>DT2</t>
  </si>
  <si>
    <t>DT3</t>
  </si>
  <si>
    <t>DT4</t>
  </si>
  <si>
    <t>DT5</t>
  </si>
  <si>
    <t>Mãng s¶nh</t>
  </si>
  <si>
    <t>trôc C</t>
  </si>
  <si>
    <t>trôc B</t>
  </si>
  <si>
    <t>trôc A</t>
  </si>
  <si>
    <t>trôc A'</t>
  </si>
  <si>
    <t>trôc 1,8</t>
  </si>
  <si>
    <t>Trôc 4,5</t>
  </si>
  <si>
    <t>Gê t­êng</t>
  </si>
  <si>
    <t>t¹i cos 0,0</t>
  </si>
  <si>
    <t>BËu cöa</t>
  </si>
  <si>
    <t>TÇng 2,3,4, m¸i</t>
  </si>
  <si>
    <t>Dkt</t>
  </si>
  <si>
    <t>VK1</t>
  </si>
  <si>
    <t>VK2</t>
  </si>
  <si>
    <t>Khèi l­îng lan can</t>
  </si>
  <si>
    <t>Diện tích lắp dựng</t>
  </si>
  <si>
    <t>Diện tích sơn (m2)</t>
  </si>
  <si>
    <t>Khối lượng (tấn)</t>
  </si>
  <si>
    <t>l</t>
  </si>
  <si>
    <t>a</t>
  </si>
  <si>
    <t>b</t>
  </si>
  <si>
    <t>Lan can cầu thang T1-T2</t>
  </si>
  <si>
    <t>thÐp èng D25x1,5</t>
  </si>
  <si>
    <t>thÐp èng D15x1,5</t>
  </si>
  <si>
    <t>thanh ®øng thÐp dÑt 50x5</t>
  </si>
  <si>
    <t>b¶n m·</t>
  </si>
  <si>
    <t>Lan can cầu thang T2-4</t>
  </si>
  <si>
    <t>Lan can 01</t>
  </si>
  <si>
    <t>Lan can 02</t>
  </si>
  <si>
    <t>« tho¸ng 1</t>
  </si>
  <si>
    <t>« tho¸ng 2</t>
  </si>
  <si>
    <t>« tho¸ng 3</t>
  </si>
  <si>
    <t>Trôc 5-8</t>
  </si>
  <si>
    <t>thÐp èng D60 (tay vÞn)</t>
  </si>
  <si>
    <t>DMB3A</t>
  </si>
  <si>
    <t>DMB3B</t>
  </si>
  <si>
    <t>DMB4</t>
  </si>
  <si>
    <t>Lanh t«</t>
  </si>
  <si>
    <t>LT1</t>
  </si>
  <si>
    <t>LT2</t>
  </si>
  <si>
    <t>LT3</t>
  </si>
  <si>
    <t>LT4</t>
  </si>
  <si>
    <t>LT4A</t>
  </si>
  <si>
    <t>LT5</t>
  </si>
  <si>
    <t>LT6</t>
  </si>
  <si>
    <t>LT6A</t>
  </si>
  <si>
    <t>LT7</t>
  </si>
  <si>
    <t>LT8</t>
  </si>
  <si>
    <t>LT9</t>
  </si>
  <si>
    <t>LT10</t>
  </si>
  <si>
    <t>TÇng 1</t>
  </si>
  <si>
    <t>C3</t>
  </si>
  <si>
    <t>C2</t>
  </si>
  <si>
    <t>Khèi l­îng bª t«ng, cèp pha dÇm</t>
  </si>
  <si>
    <t>Số tầng</t>
  </si>
  <si>
    <t>SL</t>
  </si>
  <si>
    <t>Kích thước 1 ck (m)</t>
  </si>
  <si>
    <t>H sàn</t>
  </si>
  <si>
    <t>Kl giao cột (m3)</t>
  </si>
  <si>
    <t>C1</t>
  </si>
  <si>
    <t>HS1</t>
  </si>
  <si>
    <t>HS2</t>
  </si>
  <si>
    <t>HS1*</t>
  </si>
  <si>
    <t>HS2*</t>
  </si>
  <si>
    <t>HSW1</t>
  </si>
  <si>
    <t>gi»ng t­êng thµnh ®­êng dèc</t>
  </si>
  <si>
    <t>Bê tông
(m3)</t>
  </si>
  <si>
    <t>Coppha 
(100m2)</t>
  </si>
  <si>
    <t>Số sàn</t>
  </si>
  <si>
    <t>B</t>
  </si>
  <si>
    <t>Tæng khèi l­îng</t>
  </si>
  <si>
    <t>Sµn tÇng 2</t>
  </si>
  <si>
    <t>D1</t>
  </si>
  <si>
    <t>Trôc 2</t>
  </si>
  <si>
    <t>Trôc 3,6</t>
  </si>
  <si>
    <t>Trôc 7</t>
  </si>
  <si>
    <t>D1A</t>
  </si>
  <si>
    <t>D1C</t>
  </si>
  <si>
    <t>D2A</t>
  </si>
  <si>
    <t>Trôc 1-4</t>
  </si>
  <si>
    <t>Trôc 5-6</t>
  </si>
  <si>
    <t>D3</t>
  </si>
  <si>
    <t>D4</t>
  </si>
  <si>
    <t>D5</t>
  </si>
  <si>
    <t>D7</t>
  </si>
  <si>
    <t>D8</t>
  </si>
  <si>
    <t>D8A</t>
  </si>
  <si>
    <t>D9</t>
  </si>
  <si>
    <t>D10</t>
  </si>
  <si>
    <t>D11</t>
  </si>
  <si>
    <t>Sµn tÇng 3,4, m¸i</t>
  </si>
  <si>
    <t>Sµn tÇng 3,4</t>
  </si>
  <si>
    <t>D1B</t>
  </si>
  <si>
    <t>D2</t>
  </si>
  <si>
    <t>D6</t>
  </si>
  <si>
    <t>D6A</t>
  </si>
  <si>
    <t>D12</t>
  </si>
  <si>
    <t>Sµn tÇng m¸i</t>
  </si>
  <si>
    <t>DM1</t>
  </si>
  <si>
    <t>DM1A</t>
  </si>
  <si>
    <t>DM1B</t>
  </si>
  <si>
    <t>DM1C</t>
  </si>
  <si>
    <t>m3</t>
  </si>
  <si>
    <t>DMB1</t>
  </si>
  <si>
    <t>Thanh sè 1</t>
  </si>
  <si>
    <t>Thanh sè 2</t>
  </si>
  <si>
    <t>DMB2</t>
  </si>
  <si>
    <t>Thanh sè 5</t>
  </si>
  <si>
    <t>Thanh sè 6</t>
  </si>
  <si>
    <t>Thanh sè 9</t>
  </si>
  <si>
    <t>Thanh sè 10</t>
  </si>
  <si>
    <t>DMB2A</t>
  </si>
  <si>
    <t>Tæng</t>
  </si>
  <si>
    <t>DMB3</t>
  </si>
  <si>
    <t>D­íi trôc C</t>
  </si>
  <si>
    <t>trôc 4,5</t>
  </si>
  <si>
    <t>®o¹n 4-5</t>
  </si>
  <si>
    <t>Khèi l­îng thÐp</t>
  </si>
  <si>
    <t>Tên CK</t>
  </si>
  <si>
    <t>Đường kính</t>
  </si>
  <si>
    <t>DCN2</t>
  </si>
  <si>
    <t>Thang tÇng 02-03, 03-04</t>
  </si>
  <si>
    <t>DM10</t>
  </si>
  <si>
    <t>Trôc C -B/1-8</t>
  </si>
  <si>
    <t>Trừ DM7</t>
  </si>
  <si>
    <t>trôc B - A/1-8</t>
  </si>
  <si>
    <t>trôc A-A'/2-7</t>
  </si>
  <si>
    <t>Trọng lượng</t>
  </si>
  <si>
    <t>Móng</t>
  </si>
  <si>
    <t>Dầm, giằng</t>
  </si>
  <si>
    <t>GT1</t>
  </si>
  <si>
    <t>GT2</t>
  </si>
  <si>
    <t>DT1+1A</t>
  </si>
  <si>
    <t>MB3</t>
  </si>
  <si>
    <t>MB3B</t>
  </si>
  <si>
    <t>DT6</t>
  </si>
  <si>
    <t>C</t>
  </si>
  <si>
    <t>Lan can 03</t>
  </si>
  <si>
    <t>Khèi l­îng hoa s¾t cöa</t>
  </si>
  <si>
    <t>Diện tích cửa</t>
  </si>
  <si>
    <t xml:space="preserve">trõ cöa:  </t>
  </si>
  <si>
    <t>sµn dµy 0,12</t>
  </si>
  <si>
    <t>sµn dµy 0,15</t>
  </si>
  <si>
    <t>D2*.</t>
  </si>
  <si>
    <t>trôc C -B/4-5</t>
  </si>
  <si>
    <t>trôc B-A/4-5</t>
  </si>
  <si>
    <t>Ngoµi trôc A'/4-5</t>
  </si>
  <si>
    <t>cét trôc 4,5</t>
  </si>
  <si>
    <t>sª n« m¸i</t>
  </si>
  <si>
    <t>mÆt trªn</t>
  </si>
  <si>
    <t>bo thµnh</t>
  </si>
  <si>
    <t>thµnh sª n«</t>
  </si>
  <si>
    <t>®¸y sª n«</t>
  </si>
  <si>
    <t>trõ ®o¹n cã cöa sæ</t>
  </si>
  <si>
    <t>t¹i cos 0,0 (t¹i vÞ trÝ cöa sæ trôc C,A)</t>
  </si>
  <si>
    <t>S1*.</t>
  </si>
  <si>
    <t>S2*.</t>
  </si>
  <si>
    <t>T­êng ng¨n 200</t>
  </si>
  <si>
    <t>T­êng ng¨n 100</t>
  </si>
  <si>
    <t>t­êng ng¨n wc</t>
  </si>
  <si>
    <t>trôc 2-4 &amp; 5-7</t>
  </si>
  <si>
    <t>TÇng 2-4</t>
  </si>
  <si>
    <t>Khèi l­îng t­êng x©y</t>
  </si>
  <si>
    <t>Diện tích tường (m2)</t>
  </si>
  <si>
    <t>Thể tích xây (m3)</t>
  </si>
  <si>
    <t>Đoạn giao</t>
  </si>
  <si>
    <t>Loại tường trát trong/ngoài</t>
  </si>
  <si>
    <t>Diện tích trát ngoài (m2)</t>
  </si>
  <si>
    <t>Diện tích trát trong (m2)</t>
  </si>
  <si>
    <t>T­êng bao</t>
  </si>
  <si>
    <t>n</t>
  </si>
  <si>
    <t>®Çu t­êng</t>
  </si>
  <si>
    <t>t</t>
  </si>
  <si>
    <t>SW1</t>
  </si>
  <si>
    <t>n+t</t>
  </si>
  <si>
    <t>D­íi trôc C( t­êng thang)</t>
  </si>
  <si>
    <t>S1</t>
  </si>
  <si>
    <t>®o¹n 2-4&amp; 5-7</t>
  </si>
  <si>
    <t>S2</t>
  </si>
  <si>
    <t>trõ cöa</t>
  </si>
  <si>
    <t>®o¹n C-B</t>
  </si>
  <si>
    <t>®o¹n B-A</t>
  </si>
  <si>
    <t>Trôc 2,7</t>
  </si>
  <si>
    <t>TÇng 2,3</t>
  </si>
  <si>
    <t>trõ ®o¹n x©y èp cét</t>
  </si>
  <si>
    <t>tÝnh vµo tr¸t cét</t>
  </si>
  <si>
    <t>3.1</t>
  </si>
  <si>
    <t>3.2</t>
  </si>
  <si>
    <t>TÇng 4</t>
  </si>
  <si>
    <t>DW1</t>
  </si>
  <si>
    <t>HKT</t>
  </si>
  <si>
    <t>trôc C4,C5</t>
  </si>
  <si>
    <t>TÇng 2-m¸i</t>
  </si>
  <si>
    <t>t­êng khu thang</t>
  </si>
  <si>
    <t>gi÷a trôc C,B</t>
  </si>
  <si>
    <t>gi÷ trôc 4,5</t>
  </si>
  <si>
    <t>DKT</t>
  </si>
  <si>
    <t>Khèi l­îng cöa</t>
  </si>
  <si>
    <t>Diện tích cửa (m2)</t>
  </si>
  <si>
    <t>Tầng 1</t>
  </si>
  <si>
    <t>Tầng 2,3,4</t>
  </si>
  <si>
    <t>R</t>
  </si>
  <si>
    <t>Diện tích trát má cửa</t>
  </si>
  <si>
    <t>H</t>
  </si>
  <si>
    <t>L</t>
  </si>
  <si>
    <t>Khèi l­îng bª t«ng, cèp pha lanh t«, thang</t>
  </si>
  <si>
    <t>Diện tích trát(m2)</t>
  </si>
  <si>
    <t>LTV</t>
  </si>
  <si>
    <t>TÇng 2,3,4</t>
  </si>
  <si>
    <t>Thang bé</t>
  </si>
  <si>
    <t>Thang tÇng 01-02</t>
  </si>
  <si>
    <t>B¶n thang</t>
  </si>
  <si>
    <t>ChiÕu nghØ</t>
  </si>
  <si>
    <t>DCN1</t>
  </si>
  <si>
    <t>Thanh sè 3</t>
  </si>
  <si>
    <t>Thanh sè 4</t>
  </si>
  <si>
    <t>Thanh sè 7</t>
  </si>
  <si>
    <t>Thanh sè 8</t>
  </si>
  <si>
    <t>DM2</t>
  </si>
  <si>
    <t>DM3</t>
  </si>
  <si>
    <t>DM5</t>
  </si>
  <si>
    <t>DM6</t>
  </si>
  <si>
    <t>DM6A</t>
  </si>
  <si>
    <t>DM7</t>
  </si>
  <si>
    <t>DM8</t>
  </si>
  <si>
    <t>DM11</t>
  </si>
  <si>
    <t>DM12</t>
  </si>
  <si>
    <t>Gi»ng thu håi</t>
  </si>
  <si>
    <t>trôc 2-7</t>
  </si>
  <si>
    <t>GT3</t>
  </si>
  <si>
    <t>GT4</t>
  </si>
  <si>
    <t>Khèi l­îng bª t«ng, cèp pha sµn</t>
  </si>
  <si>
    <t>Diện tích giao cột (m2)</t>
  </si>
  <si>
    <t>Diện tích trần thạch cao (m2)</t>
  </si>
  <si>
    <t>Diện tích trát trần (m2)</t>
  </si>
  <si>
    <t>A</t>
  </si>
  <si>
    <t>Trôc C -B/1-2</t>
  </si>
  <si>
    <t>Trôc C -B/2-3, 6-8</t>
  </si>
  <si>
    <t>Trôc C -B/3-4, 5-6</t>
  </si>
  <si>
    <t>Trôc C -B/4-5</t>
  </si>
  <si>
    <t>Trô B-A/1-2, 7-8</t>
  </si>
  <si>
    <t>Trôc B-A'/2-4,5-7</t>
  </si>
  <si>
    <t>Trôc B-A'/4-5</t>
  </si>
  <si>
    <t>s¶nh</t>
  </si>
  <si>
    <t>trong « 4-5</t>
  </si>
  <si>
    <t>ngoµi « 4-5</t>
  </si>
  <si>
    <t>thµnh</t>
  </si>
  <si>
    <t>Sµn dµy 150 (n¶y sµn)</t>
  </si>
  <si>
    <t>trôc 2,7</t>
  </si>
  <si>
    <t>bÞt ®Çu sµn</t>
  </si>
  <si>
    <t>Trôc C -B/2-4, 5-8</t>
  </si>
  <si>
    <t>sµn ngoµi nhµ</t>
  </si>
  <si>
    <t>trôc C -B/2-4,5-7</t>
  </si>
  <si>
    <t>4.1</t>
  </si>
  <si>
    <t>4.2</t>
  </si>
  <si>
    <t>BẢNG TÍNH KHỐI LƯỢNG PHẦN NGẦM</t>
  </si>
  <si>
    <t>Tên Cấu Kiện</t>
  </si>
  <si>
    <t>Ký hiệu bản vẽ</t>
  </si>
  <si>
    <t>Dài</t>
  </si>
  <si>
    <t>Rộng</t>
  </si>
  <si>
    <t>Cao</t>
  </si>
  <si>
    <t>Hệ số</t>
  </si>
  <si>
    <t>KL Đào</t>
  </si>
  <si>
    <t>BT lót</t>
  </si>
  <si>
    <t>Bê tông</t>
  </si>
  <si>
    <t>Kích thước móng</t>
  </si>
  <si>
    <t>Cote tự nhiên</t>
  </si>
  <si>
    <t>Cote bê tông lót</t>
  </si>
  <si>
    <t>Thông số liên quan</t>
  </si>
  <si>
    <t>Móng cọc</t>
  </si>
  <si>
    <t>Chiều dày bt lót</t>
  </si>
  <si>
    <t>DC2</t>
  </si>
  <si>
    <t>DC3</t>
  </si>
  <si>
    <t>DC4</t>
  </si>
  <si>
    <t>Chu vi đáy móng</t>
  </si>
  <si>
    <t>Dtích đáy móng</t>
  </si>
  <si>
    <t>Dtích đáy bt lót</t>
  </si>
  <si>
    <t>Trừ thể tích cọc chiếm chỗ không đào</t>
  </si>
  <si>
    <t>Trừ thể tích cọc chiếm chỗ trong bt lót</t>
  </si>
  <si>
    <t>Trừ thể tích cọc chiếm chỗ trong bt móng</t>
  </si>
  <si>
    <t>DC1 - Móng vát</t>
  </si>
  <si>
    <t>Trừ diện tích giao với dầm móng</t>
  </si>
  <si>
    <t>m2</t>
  </si>
  <si>
    <t>Dầm móng</t>
  </si>
  <si>
    <t>DM1 (22x50) - Trục A</t>
  </si>
  <si>
    <t>DM1 (22x50) - Trục B</t>
  </si>
  <si>
    <t>DM1 (22x50) - Trục C</t>
  </si>
  <si>
    <t>DM2 (22x50)</t>
  </si>
  <si>
    <t>DM3 (22x50)</t>
  </si>
  <si>
    <t>DM4 (22x50)</t>
  </si>
  <si>
    <t>DM6 (22x50)</t>
  </si>
  <si>
    <t>DM5 (22x50) - Trục 3</t>
  </si>
  <si>
    <t>DM5 (22x50) - Trục 4</t>
  </si>
  <si>
    <t>DM1A (22x50)</t>
  </si>
  <si>
    <t>DM7 (22x30)</t>
  </si>
  <si>
    <t>DM8-1 (15x30)</t>
  </si>
  <si>
    <t>DM8-2 (15x30)</t>
  </si>
  <si>
    <t>1</t>
  </si>
  <si>
    <t>Móng đơn</t>
  </si>
  <si>
    <t>M1 - Bệ móng</t>
  </si>
  <si>
    <t>x</t>
  </si>
  <si>
    <t>Móng đơn đúng tâm</t>
  </si>
  <si>
    <t>Móng đơn lệch tâm 1 phía</t>
  </si>
  <si>
    <t>Móng đơn lệch tâm 2 phía</t>
  </si>
  <si>
    <t xml:space="preserve">        Diện tích phần vát</t>
  </si>
  <si>
    <t>Móng băng</t>
  </si>
  <si>
    <t>2</t>
  </si>
  <si>
    <t xml:space="preserve">        Dầm móng</t>
  </si>
  <si>
    <t xml:space="preserve">        Phần vát</t>
  </si>
  <si>
    <t>M2 - Bệ móng</t>
  </si>
  <si>
    <t>M3 - Bệ móng</t>
  </si>
  <si>
    <t>M4 - Bệ móng</t>
  </si>
  <si>
    <t>M6 - Bệ móng</t>
  </si>
  <si>
    <t>M7 - Bệ móng</t>
  </si>
  <si>
    <t>M8 - Bệ móng</t>
  </si>
  <si>
    <t xml:space="preserve">        Diện tích ván khuôn phần vát</t>
  </si>
  <si>
    <t xml:space="preserve">        Diện tích ván khuôn phần vát 1</t>
  </si>
  <si>
    <t xml:space="preserve">        Diện tích ván khuôn phần vát 2</t>
  </si>
  <si>
    <t>M9 - Bệ móng</t>
  </si>
  <si>
    <t>Móng băng đúng tâm</t>
  </si>
  <si>
    <t>Móng băng lệch tâm</t>
  </si>
  <si>
    <t>Cổ móng &lt;=0,1m2</t>
  </si>
  <si>
    <t>Cổ móng &gt;0,1m2</t>
  </si>
  <si>
    <t>Cổ cột C1 (600x1200)</t>
  </si>
  <si>
    <t>Cổ cột C1 (220x220)</t>
  </si>
  <si>
    <t>Cổ cột C2 (220x220)</t>
  </si>
  <si>
    <t>Cổ cột C3 (220x220)</t>
  </si>
  <si>
    <t>Cổ cột C2 (500x1200)</t>
  </si>
  <si>
    <t>Cổ cột C3 (600x600)</t>
  </si>
  <si>
    <t>Tường bó nền</t>
  </si>
  <si>
    <t>Trục A</t>
  </si>
  <si>
    <t>Trục B</t>
  </si>
  <si>
    <t>Trục C</t>
  </si>
  <si>
    <t>Đà kiềng (giằng cột, đà giằng)</t>
  </si>
  <si>
    <t xml:space="preserve">  Kích thước (m)  </t>
  </si>
  <si>
    <t>BẢNG TÍNH KHỐI LƯỢNG CỘT</t>
  </si>
  <si>
    <t>Trát cột</t>
  </si>
  <si>
    <t>Tầng 2</t>
  </si>
  <si>
    <t>Tầng 3</t>
  </si>
  <si>
    <t>Bả cột</t>
  </si>
  <si>
    <t>Sơn cột</t>
  </si>
  <si>
    <t>Diện tích đoạn giao dầm(m2)</t>
  </si>
  <si>
    <t>Trừ giao bt lót móng</t>
  </si>
  <si>
    <t>V khuôn</t>
  </si>
  <si>
    <t>Cột</t>
  </si>
  <si>
    <t>Dầm</t>
  </si>
  <si>
    <t>Sàn</t>
  </si>
  <si>
    <t xml:space="preserve">  Cốp pha (m2) </t>
  </si>
  <si>
    <t xml:space="preserve"> Bê tông (m3)</t>
  </si>
  <si>
    <t>Dày sàn (m)</t>
  </si>
  <si>
    <t>C2 - Khu vực -0,4</t>
  </si>
  <si>
    <t>C2 - Khu vực -0,05</t>
  </si>
  <si>
    <t>C2 - Khu vực +0,05</t>
  </si>
  <si>
    <t>Tầng áp mái</t>
  </si>
  <si>
    <t>CỘT</t>
  </si>
  <si>
    <t>DẦM</t>
  </si>
  <si>
    <t>Dầm tầng 2</t>
  </si>
  <si>
    <t>D1 (22x35): (6,5-0,22) x (0,25+0,25) /100</t>
  </si>
  <si>
    <t>D2 (15x35): 2,78 x (0,25+0,25) /100</t>
  </si>
  <si>
    <t>D3 (22x35): 3,98 x (0,25+0,25)/100</t>
  </si>
  <si>
    <t>D4 (22x30): 2,78 x (0,2+0,2)/100</t>
  </si>
  <si>
    <t>D5 (22x35): (13,48-4*0,22) x (0,25+0,25)/100</t>
  </si>
  <si>
    <t>D6 (22x35): (13,48-3*0,22) x (0,25+0,25)/100</t>
  </si>
  <si>
    <t>D7 (22x35): (7,28-0,22) x (0,25+0,25)/100</t>
  </si>
  <si>
    <t>D7A (22x35): 7,5 x (0,25+0,25)/100</t>
  </si>
  <si>
    <t>D8 (22x35): 3,98 x (0,25+0,25)/100</t>
  </si>
  <si>
    <t>D9 (22x35): 3,08 x (0,25+0,25)/100</t>
  </si>
  <si>
    <t>D10 (22x35): (4,83-0,22) x (0,25+0,25)/100</t>
  </si>
  <si>
    <t>D10 (22x30): 3,08 x (0,2+0,2)/100</t>
  </si>
  <si>
    <t>D11 (15x20): 3,08 x (0,1+0,1)/100</t>
  </si>
  <si>
    <t>D11A (15x35): 3,08 x (0,25+0,25)/100</t>
  </si>
  <si>
    <t>D12 (22x35): (8,13-0,22*2) x (0,25+0,25)/100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</si>
</sst>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;;;"/>
    <numFmt numFmtId="166" formatCode="mm"/>
    <numFmt numFmtId="167" formatCode="dd"/>
    <numFmt numFmtId="168" formatCode="yyyy"/>
    <numFmt numFmtId="169" formatCode="#,##0.000"/>
    <numFmt numFmtId="170" formatCode="#,##0.00000"/>
    <numFmt numFmtId="171" formatCode="#,##0.0"/>
    <numFmt numFmtId="172" formatCode="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0.000%"/>
    <numFmt numFmtId="177" formatCode="0.0000%"/>
    <numFmt numFmtId="178" formatCode="0.0%"/>
    <numFmt numFmtId="179" formatCode="_ * #,##0_ ;_ * \-#,##0_ ;_ * &quot;-&quot;_ ;_ @_ "/>
    <numFmt numFmtId="180" formatCode="_ * #,##0.00_ ;_ * \-#,##0.00_ ;_ * &quot;-&quot;??_ ;_ @_ 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#,##0\ &quot;$&quot;_);[Red]\(#,##0\ &quot;$&quot;\)"/>
    <numFmt numFmtId="184" formatCode="_-* #,##0.00\ _D_M_-;\-* #,##0.00\ _D_M_-;_-* &quot;-&quot;??\ _D_M_-;_-@_-"/>
    <numFmt numFmtId="185" formatCode="#,##0.0;[Red]#,##0.0"/>
    <numFmt numFmtId="186" formatCode="0.000000000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\$#,##0\ ;\(\$#,##0\)"/>
    <numFmt numFmtId="191" formatCode="&quot;$&quot;#,##0"/>
    <numFmt numFmtId="192" formatCode="0.00_)"/>
    <numFmt numFmtId="193" formatCode="&quot;\&quot;#,##0;[Red]&quot;\&quot;&quot;\&quot;\-#,##0"/>
    <numFmt numFmtId="194" formatCode="#,##0\ &quot;F&quot;;\-#,##0\ &quot;F&quot;"/>
    <numFmt numFmtId="195" formatCode="_-* #,##0\ _F_-;\-* #,##0\ _F_-;_-* &quot;-&quot;\ _F_-;_-@_-"/>
    <numFmt numFmtId="196" formatCode="#."/>
    <numFmt numFmtId="197" formatCode="&quot;$&quot;###,0&quot;.&quot;00_);[Red]\(&quot;$&quot;###,0&quot;.&quot;00\)"/>
    <numFmt numFmtId="198" formatCode="_-* #,##0.0\ _F_-;\-* #,##0.0\ _F_-;_-* &quot;-&quot;??\ _F_-;_-@_-"/>
    <numFmt numFmtId="199" formatCode="#,###,###.00"/>
    <numFmt numFmtId="200" formatCode="#,###,###,###.00"/>
    <numFmt numFmtId="201" formatCode="m/d"/>
    <numFmt numFmtId="202" formatCode="&quot;ß&quot;#,##0;\-&quot;&quot;\ß&quot;&quot;#,##0"/>
    <numFmt numFmtId="203" formatCode="\t0.00%"/>
    <numFmt numFmtId="204" formatCode="\t#\ ??/??"/>
    <numFmt numFmtId="205" formatCode="#,##0;\(#,##0\)"/>
    <numFmt numFmtId="206" formatCode="#,##0&quot;®&quot;;\-#,##0&quot;®&quot;"/>
    <numFmt numFmtId="207" formatCode="#,##0&quot;®&quot;_);\(#,##0&quot;®&quot;\)"/>
    <numFmt numFmtId="208" formatCode="_(* #,##0_);_(* \(#,##0\);_(* &quot;-&quot;??_);_(@_)"/>
    <numFmt numFmtId="209" formatCode="_(* #,##0.0_);_(* \(#,##0.0\);_(* &quot;-&quot;??_);_(@_)"/>
    <numFmt numFmtId="210" formatCode="_(* #,##0.000_);_(* \(#,##0.000\);_(* &quot;-&quot;??_);_(@_)"/>
    <numFmt numFmtId="211" formatCode="_(* #,##0.0000_);_(* \(#,##0.0000\);_(* &quot;-&quot;??_);_(@_)"/>
    <numFmt numFmtId="212" formatCode="_(* #,##0.000_);_(* \(#,##0.000\);_(* &quot;-&quot;???_);_(@_)"/>
    <numFmt numFmtId="213" formatCode="0.0000"/>
    <numFmt numFmtId="214" formatCode="0.0000000"/>
    <numFmt numFmtId="215" formatCode="0.000000"/>
    <numFmt numFmtId="216" formatCode="0.00000"/>
    <numFmt numFmtId="217" formatCode="0.0"/>
    <numFmt numFmtId="218" formatCode="[$-409]dddd\,\ mmmm\ d\,\ yyyy"/>
    <numFmt numFmtId="219" formatCode="[$-409]h:mm:ss\ AM/PM"/>
    <numFmt numFmtId="220" formatCode="0.00000000"/>
    <numFmt numFmtId="221" formatCode="_(* #,##0.0000_);_(* \(#,##0.0000\);_(* &quot;-&quot;????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10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62"/>
      <name val="VNI-Times"/>
      <family val="2"/>
    </font>
    <font>
      <b/>
      <sz val="13"/>
      <color indexed="62"/>
      <name val="VNI-Times"/>
      <family val="2"/>
    </font>
    <font>
      <b/>
      <sz val="11"/>
      <color indexed="62"/>
      <name val="VNI-Times"/>
      <family val="2"/>
    </font>
    <font>
      <sz val="12"/>
      <color indexed="62"/>
      <name val="VNI-Times"/>
      <family val="2"/>
    </font>
    <font>
      <sz val="12"/>
      <color indexed="10"/>
      <name val="VNI-Times"/>
      <family val="2"/>
    </font>
    <font>
      <sz val="12"/>
      <color indexed="19"/>
      <name val="VNI-Times"/>
      <family val="2"/>
    </font>
    <font>
      <sz val="12"/>
      <name val=".VnTime"/>
      <family val="2"/>
    </font>
    <font>
      <b/>
      <sz val="12"/>
      <color indexed="63"/>
      <name val="VNI-Times"/>
      <family val="2"/>
    </font>
    <font>
      <b/>
      <sz val="18"/>
      <color indexed="62"/>
      <name val="Cambria"/>
      <family val="2"/>
    </font>
    <font>
      <b/>
      <sz val="12"/>
      <color indexed="8"/>
      <name val="VNI-Times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i/>
      <sz val="11"/>
      <name val=".VnTime"/>
      <family val="2"/>
    </font>
    <font>
      <i/>
      <sz val="11"/>
      <name val=".VnTime"/>
      <family val="2"/>
    </font>
    <font>
      <sz val="12"/>
      <name val="Times New Roman"/>
      <family val="1"/>
    </font>
    <font>
      <b/>
      <sz val="10"/>
      <name val=".VnTime"/>
      <family val="2"/>
    </font>
    <font>
      <sz val="14"/>
      <name val=".VnTime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1"/>
      <color indexed="3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0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3"/>
      <name val=".VnTime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sz val="12"/>
      <name val="VNI-Helv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6"/>
      <name val="Times New Roman"/>
      <family val="1"/>
    </font>
    <font>
      <sz val="11"/>
      <color indexed="53"/>
      <name val="Times New Roman"/>
      <family val="1"/>
    </font>
    <font>
      <u val="single"/>
      <sz val="10"/>
      <color theme="10"/>
      <name val="Arial"/>
      <family val="2"/>
    </font>
    <font>
      <b/>
      <sz val="11"/>
      <color rgb="FF002060"/>
      <name val="Times New Roman"/>
      <family val="1"/>
    </font>
    <font>
      <sz val="11"/>
      <color theme="9" tint="-0.24997000396251678"/>
      <name val="Times New Roman"/>
      <family val="1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9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15" fillId="0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6" fillId="2" borderId="0">
      <alignment/>
      <protection/>
    </xf>
    <xf numFmtId="0" fontId="37" fillId="0" borderId="0">
      <alignment wrapText="1"/>
      <protection/>
    </xf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6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4" fillId="16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5" fillId="17" borderId="1" applyNumberFormat="0" applyAlignment="0" applyProtection="0"/>
    <xf numFmtId="0" fontId="41" fillId="0" borderId="0">
      <alignment/>
      <protection/>
    </xf>
    <xf numFmtId="0" fontId="6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42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3" fontId="0" fillId="0" borderId="0">
      <alignment/>
      <protection/>
    </xf>
    <xf numFmtId="172" fontId="15" fillId="0" borderId="3">
      <alignment/>
      <protection/>
    </xf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4" fontId="0" fillId="0" borderId="0">
      <alignment/>
      <protection/>
    </xf>
    <xf numFmtId="3" fontId="15" fillId="0" borderId="0" applyFont="0" applyBorder="0" applyAlignment="0">
      <protection/>
    </xf>
    <xf numFmtId="0" fontId="7" fillId="0" borderId="0" applyNumberFormat="0" applyFill="0" applyBorder="0" applyAlignment="0" applyProtection="0"/>
    <xf numFmtId="3" fontId="15" fillId="0" borderId="0" applyFont="0" applyBorder="0" applyAlignment="0">
      <protection/>
    </xf>
    <xf numFmtId="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" fillId="7" borderId="0" applyNumberFormat="0" applyBorder="0" applyAlignment="0" applyProtection="0"/>
    <xf numFmtId="38" fontId="43" fillId="17" borderId="0" applyNumberFormat="0" applyBorder="0" applyAlignment="0" applyProtection="0"/>
    <xf numFmtId="0" fontId="44" fillId="0" borderId="0">
      <alignment horizontal="left"/>
      <protection/>
    </xf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96" fontId="46" fillId="0" borderId="0">
      <alignment/>
      <protection locked="0"/>
    </xf>
    <xf numFmtId="196" fontId="46" fillId="0" borderId="0">
      <alignment/>
      <protection locked="0"/>
    </xf>
    <xf numFmtId="0" fontId="83" fillId="0" borderId="0" applyNumberFormat="0" applyFill="0" applyBorder="0" applyAlignment="0" applyProtection="0"/>
    <xf numFmtId="0" fontId="12" fillId="8" borderId="1" applyNumberFormat="0" applyAlignment="0" applyProtection="0"/>
    <xf numFmtId="10" fontId="43" fillId="17" borderId="9" applyNumberFormat="0" applyBorder="0" applyAlignment="0" applyProtection="0"/>
    <xf numFmtId="0" fontId="13" fillId="0" borderId="10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1">
      <alignment/>
      <protection/>
    </xf>
    <xf numFmtId="164" fontId="49" fillId="0" borderId="12">
      <alignment/>
      <protection/>
    </xf>
    <xf numFmtId="183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0" borderId="0" applyNumberFormat="0" applyFont="0" applyFill="0" applyAlignment="0">
      <protection/>
    </xf>
    <xf numFmtId="0" fontId="14" fillId="8" borderId="0" applyNumberFormat="0" applyBorder="0" applyAlignment="0" applyProtection="0"/>
    <xf numFmtId="0" fontId="42" fillId="0" borderId="0">
      <alignment/>
      <protection/>
    </xf>
    <xf numFmtId="37" fontId="51" fillId="0" borderId="0">
      <alignment/>
      <protection/>
    </xf>
    <xf numFmtId="192" fontId="52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5" borderId="13" applyNumberFormat="0" applyFont="0" applyAlignment="0" applyProtection="0"/>
    <xf numFmtId="175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0" fontId="16" fillId="17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>
      <alignment/>
      <protection/>
    </xf>
    <xf numFmtId="0" fontId="48" fillId="0" borderId="0">
      <alignment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8" fontId="15" fillId="0" borderId="15">
      <alignment horizontal="right" vertical="center"/>
      <protection/>
    </xf>
    <xf numFmtId="195" fontId="15" fillId="0" borderId="15">
      <alignment horizontal="center"/>
      <protection/>
    </xf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199" fontId="15" fillId="0" borderId="0">
      <alignment/>
      <protection/>
    </xf>
    <xf numFmtId="200" fontId="15" fillId="0" borderId="9">
      <alignment/>
      <protection/>
    </xf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5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1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0" fontId="61" fillId="0" borderId="0">
      <alignment/>
      <protection/>
    </xf>
    <xf numFmtId="0" fontId="50" fillId="0" borderId="0">
      <alignment/>
      <protection/>
    </xf>
    <xf numFmtId="174" fontId="59" fillId="0" borderId="0" applyFont="0" applyFill="0" applyBorder="0" applyAlignment="0" applyProtection="0"/>
    <xf numFmtId="175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183" fontId="62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2" fillId="0" borderId="9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7" xfId="0" applyFont="1" applyBorder="1" applyAlignment="1">
      <alignment/>
    </xf>
    <xf numFmtId="210" fontId="22" fillId="0" borderId="17" xfId="88" applyNumberFormat="1" applyFont="1" applyBorder="1" applyAlignment="1">
      <alignment/>
    </xf>
    <xf numFmtId="0" fontId="21" fillId="19" borderId="17" xfId="0" applyFont="1" applyFill="1" applyBorder="1" applyAlignment="1">
      <alignment horizontal="center"/>
    </xf>
    <xf numFmtId="0" fontId="21" fillId="19" borderId="17" xfId="0" applyFont="1" applyFill="1" applyBorder="1" applyAlignment="1">
      <alignment/>
    </xf>
    <xf numFmtId="210" fontId="21" fillId="19" borderId="17" xfId="88" applyNumberFormat="1" applyFont="1" applyFill="1" applyBorder="1" applyAlignment="1">
      <alignment/>
    </xf>
    <xf numFmtId="210" fontId="22" fillId="19" borderId="17" xfId="88" applyNumberFormat="1" applyFont="1" applyFill="1" applyBorder="1" applyAlignment="1">
      <alignment/>
    </xf>
    <xf numFmtId="208" fontId="22" fillId="0" borderId="0" xfId="88" applyNumberFormat="1" applyFont="1" applyAlignment="1">
      <alignment/>
    </xf>
    <xf numFmtId="0" fontId="21" fillId="0" borderId="17" xfId="0" applyFont="1" applyBorder="1" applyAlignment="1">
      <alignment/>
    </xf>
    <xf numFmtId="210" fontId="21" fillId="0" borderId="17" xfId="88" applyNumberFormat="1" applyFont="1" applyBorder="1" applyAlignment="1">
      <alignment/>
    </xf>
    <xf numFmtId="210" fontId="22" fillId="0" borderId="17" xfId="88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210" fontId="21" fillId="0" borderId="17" xfId="88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8" xfId="0" applyFont="1" applyBorder="1" applyAlignment="1">
      <alignment/>
    </xf>
    <xf numFmtId="210" fontId="22" fillId="0" borderId="18" xfId="88" applyNumberFormat="1" applyFont="1" applyBorder="1" applyAlignment="1">
      <alignment/>
    </xf>
    <xf numFmtId="0" fontId="22" fillId="0" borderId="18" xfId="0" applyFont="1" applyFill="1" applyBorder="1" applyAlignment="1">
      <alignment horizontal="center"/>
    </xf>
    <xf numFmtId="210" fontId="22" fillId="0" borderId="18" xfId="88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210" fontId="22" fillId="0" borderId="19" xfId="88" applyNumberFormat="1" applyFont="1" applyBorder="1" applyAlignment="1">
      <alignment/>
    </xf>
    <xf numFmtId="0" fontId="22" fillId="0" borderId="0" xfId="0" applyFont="1" applyAlignment="1">
      <alignment horizontal="center"/>
    </xf>
    <xf numFmtId="210" fontId="22" fillId="0" borderId="0" xfId="88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43" fontId="22" fillId="0" borderId="0" xfId="88" applyNumberFormat="1" applyFont="1" applyAlignment="1">
      <alignment/>
    </xf>
    <xf numFmtId="0" fontId="26" fillId="0" borderId="0" xfId="0" applyFont="1" applyAlignment="1">
      <alignment/>
    </xf>
    <xf numFmtId="2" fontId="42" fillId="0" borderId="12" xfId="136" applyNumberFormat="1" applyFont="1" applyFill="1" applyBorder="1" applyAlignment="1">
      <alignment horizontal="center" vertical="center" wrapText="1"/>
      <protection/>
    </xf>
    <xf numFmtId="2" fontId="71" fillId="0" borderId="12" xfId="136" applyNumberFormat="1" applyFont="1" applyFill="1" applyBorder="1" applyAlignment="1">
      <alignment horizontal="left" vertical="center" wrapText="1"/>
      <protection/>
    </xf>
    <xf numFmtId="1" fontId="42" fillId="0" borderId="12" xfId="136" applyNumberFormat="1" applyFont="1" applyFill="1" applyBorder="1" applyAlignment="1">
      <alignment horizontal="center" vertical="center" wrapText="1"/>
      <protection/>
    </xf>
    <xf numFmtId="208" fontId="42" fillId="0" borderId="17" xfId="88" applyNumberFormat="1" applyFont="1" applyFill="1" applyBorder="1" applyAlignment="1">
      <alignment horizontal="center" vertical="center" wrapText="1"/>
    </xf>
    <xf numFmtId="2" fontId="42" fillId="0" borderId="17" xfId="136" applyNumberFormat="1" applyFont="1" applyFill="1" applyBorder="1" applyAlignment="1">
      <alignment horizontal="center" vertical="center" wrapText="1"/>
      <protection/>
    </xf>
    <xf numFmtId="43" fontId="42" fillId="0" borderId="17" xfId="88" applyNumberFormat="1" applyFont="1" applyFill="1" applyBorder="1" applyAlignment="1">
      <alignment horizontal="center" vertical="center" wrapText="1"/>
    </xf>
    <xf numFmtId="208" fontId="19" fillId="0" borderId="17" xfId="88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208" fontId="42" fillId="0" borderId="20" xfId="88" applyNumberFormat="1" applyFont="1" applyFill="1" applyBorder="1" applyAlignment="1">
      <alignment horizontal="center" vertical="center" wrapText="1"/>
    </xf>
    <xf numFmtId="43" fontId="42" fillId="0" borderId="20" xfId="88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208" fontId="26" fillId="0" borderId="17" xfId="88" applyNumberFormat="1" applyFont="1" applyBorder="1" applyAlignment="1">
      <alignment/>
    </xf>
    <xf numFmtId="208" fontId="19" fillId="0" borderId="19" xfId="88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208" fontId="19" fillId="0" borderId="0" xfId="88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208" fontId="42" fillId="0" borderId="0" xfId="88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169" fontId="19" fillId="0" borderId="0" xfId="135" applyNumberFormat="1" applyFont="1" applyBorder="1" applyAlignment="1">
      <alignment vertical="top"/>
      <protection/>
    </xf>
    <xf numFmtId="0" fontId="19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10" fontId="22" fillId="0" borderId="0" xfId="88" applyNumberFormat="1" applyFont="1" applyFill="1" applyAlignment="1">
      <alignment/>
    </xf>
    <xf numFmtId="2" fontId="72" fillId="0" borderId="9" xfId="136" applyNumberFormat="1" applyFont="1" applyFill="1" applyBorder="1" applyAlignment="1">
      <alignment horizontal="center" vertical="center" wrapText="1"/>
      <protection/>
    </xf>
    <xf numFmtId="1" fontId="72" fillId="0" borderId="9" xfId="136" applyNumberFormat="1" applyFont="1" applyFill="1" applyBorder="1" applyAlignment="1">
      <alignment horizontal="center" vertical="center" wrapText="1"/>
      <protection/>
    </xf>
    <xf numFmtId="2" fontId="72" fillId="0" borderId="21" xfId="136" applyNumberFormat="1" applyFont="1" applyFill="1" applyBorder="1" applyAlignment="1">
      <alignment horizontal="center" vertical="center" wrapText="1"/>
      <protection/>
    </xf>
    <xf numFmtId="43" fontId="72" fillId="0" borderId="9" xfId="88" applyNumberFormat="1" applyFont="1" applyFill="1" applyBorder="1" applyAlignment="1">
      <alignment horizontal="center" vertical="center" wrapText="1"/>
    </xf>
    <xf numFmtId="209" fontId="72" fillId="0" borderId="21" xfId="88" applyNumberFormat="1" applyFont="1" applyFill="1" applyBorder="1" applyAlignment="1">
      <alignment horizontal="center" vertical="center" wrapText="1"/>
    </xf>
    <xf numFmtId="2" fontId="72" fillId="19" borderId="22" xfId="136" applyNumberFormat="1" applyFont="1" applyFill="1" applyBorder="1" applyAlignment="1">
      <alignment horizontal="center" vertical="center" wrapText="1"/>
      <protection/>
    </xf>
    <xf numFmtId="1" fontId="72" fillId="19" borderId="22" xfId="136" applyNumberFormat="1" applyFont="1" applyFill="1" applyBorder="1" applyAlignment="1">
      <alignment horizontal="center" vertical="center" wrapText="1"/>
      <protection/>
    </xf>
    <xf numFmtId="43" fontId="72" fillId="19" borderId="22" xfId="88" applyNumberFormat="1" applyFont="1" applyFill="1" applyBorder="1" applyAlignment="1">
      <alignment horizontal="center" vertical="center" wrapText="1"/>
    </xf>
    <xf numFmtId="209" fontId="72" fillId="19" borderId="22" xfId="88" applyNumberFormat="1" applyFont="1" applyFill="1" applyBorder="1" applyAlignment="1">
      <alignment horizontal="center" vertical="center" wrapText="1"/>
    </xf>
    <xf numFmtId="210" fontId="72" fillId="19" borderId="22" xfId="88" applyNumberFormat="1" applyFont="1" applyFill="1" applyBorder="1" applyAlignment="1">
      <alignment horizontal="center" vertical="center" wrapText="1"/>
    </xf>
    <xf numFmtId="210" fontId="73" fillId="19" borderId="22" xfId="88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208" fontId="22" fillId="0" borderId="17" xfId="88" applyNumberFormat="1" applyFont="1" applyFill="1" applyBorder="1" applyAlignment="1">
      <alignment/>
    </xf>
    <xf numFmtId="43" fontId="22" fillId="0" borderId="17" xfId="88" applyNumberFormat="1" applyFont="1" applyFill="1" applyBorder="1" applyAlignment="1">
      <alignment/>
    </xf>
    <xf numFmtId="212" fontId="22" fillId="0" borderId="0" xfId="0" applyNumberFormat="1" applyFont="1" applyAlignment="1">
      <alignment/>
    </xf>
    <xf numFmtId="208" fontId="22" fillId="0" borderId="17" xfId="88" applyNumberFormat="1" applyFont="1" applyBorder="1" applyAlignment="1">
      <alignment/>
    </xf>
    <xf numFmtId="43" fontId="22" fillId="0" borderId="17" xfId="88" applyNumberFormat="1" applyFont="1" applyBorder="1" applyAlignment="1">
      <alignment/>
    </xf>
    <xf numFmtId="208" fontId="21" fillId="0" borderId="17" xfId="88" applyNumberFormat="1" applyFont="1" applyBorder="1" applyAlignment="1">
      <alignment/>
    </xf>
    <xf numFmtId="43" fontId="21" fillId="0" borderId="17" xfId="88" applyNumberFormat="1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208" fontId="22" fillId="0" borderId="18" xfId="88" applyNumberFormat="1" applyFont="1" applyFill="1" applyBorder="1" applyAlignment="1">
      <alignment/>
    </xf>
    <xf numFmtId="43" fontId="22" fillId="0" borderId="18" xfId="88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43" fontId="22" fillId="0" borderId="19" xfId="88" applyNumberFormat="1" applyFont="1" applyBorder="1" applyAlignment="1">
      <alignment/>
    </xf>
    <xf numFmtId="2" fontId="74" fillId="19" borderId="22" xfId="136" applyNumberFormat="1" applyFont="1" applyFill="1" applyBorder="1" applyAlignment="1">
      <alignment horizontal="center" vertical="center" wrapText="1"/>
      <protection/>
    </xf>
    <xf numFmtId="0" fontId="20" fillId="19" borderId="17" xfId="0" applyFont="1" applyFill="1" applyBorder="1" applyAlignment="1">
      <alignment horizontal="left"/>
    </xf>
    <xf numFmtId="1" fontId="74" fillId="19" borderId="22" xfId="136" applyNumberFormat="1" applyFont="1" applyFill="1" applyBorder="1" applyAlignment="1">
      <alignment horizontal="center" vertical="center" wrapText="1"/>
      <protection/>
    </xf>
    <xf numFmtId="43" fontId="74" fillId="19" borderId="22" xfId="88" applyNumberFormat="1" applyFont="1" applyFill="1" applyBorder="1" applyAlignment="1">
      <alignment horizontal="center" vertical="center" wrapText="1"/>
    </xf>
    <xf numFmtId="210" fontId="74" fillId="19" borderId="22" xfId="88" applyNumberFormat="1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17" xfId="0" applyFont="1" applyFill="1" applyBorder="1" applyAlignment="1">
      <alignment horizontal="left"/>
    </xf>
    <xf numFmtId="43" fontId="22" fillId="0" borderId="17" xfId="0" applyNumberFormat="1" applyFont="1" applyBorder="1" applyAlignment="1">
      <alignment/>
    </xf>
    <xf numFmtId="212" fontId="22" fillId="0" borderId="17" xfId="0" applyNumberFormat="1" applyFont="1" applyBorder="1" applyAlignment="1">
      <alignment/>
    </xf>
    <xf numFmtId="0" fontId="23" fillId="0" borderId="17" xfId="0" applyFont="1" applyFill="1" applyBorder="1" applyAlignment="1">
      <alignment horizontal="left"/>
    </xf>
    <xf numFmtId="208" fontId="21" fillId="0" borderId="17" xfId="88" applyNumberFormat="1" applyFont="1" applyFill="1" applyBorder="1" applyAlignment="1">
      <alignment/>
    </xf>
    <xf numFmtId="43" fontId="21" fillId="0" borderId="17" xfId="88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19" borderId="17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43" fontId="22" fillId="0" borderId="0" xfId="0" applyNumberFormat="1" applyFont="1" applyAlignment="1">
      <alignment/>
    </xf>
    <xf numFmtId="208" fontId="21" fillId="19" borderId="17" xfId="88" applyNumberFormat="1" applyFont="1" applyFill="1" applyBorder="1" applyAlignment="1">
      <alignment/>
    </xf>
    <xf numFmtId="43" fontId="21" fillId="19" borderId="17" xfId="88" applyNumberFormat="1" applyFont="1" applyFill="1" applyBorder="1" applyAlignment="1">
      <alignment/>
    </xf>
    <xf numFmtId="43" fontId="21" fillId="19" borderId="17" xfId="0" applyNumberFormat="1" applyFont="1" applyFill="1" applyBorder="1" applyAlignment="1">
      <alignment/>
    </xf>
    <xf numFmtId="210" fontId="21" fillId="0" borderId="0" xfId="88" applyNumberFormat="1" applyFont="1" applyAlignment="1">
      <alignment/>
    </xf>
    <xf numFmtId="0" fontId="21" fillId="19" borderId="22" xfId="0" applyFont="1" applyFill="1" applyBorder="1" applyAlignment="1">
      <alignment horizontal="right"/>
    </xf>
    <xf numFmtId="0" fontId="22" fillId="19" borderId="17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right"/>
    </xf>
    <xf numFmtId="208" fontId="22" fillId="19" borderId="17" xfId="88" applyNumberFormat="1" applyFont="1" applyFill="1" applyBorder="1" applyAlignment="1">
      <alignment/>
    </xf>
    <xf numFmtId="43" fontId="22" fillId="19" borderId="17" xfId="88" applyNumberFormat="1" applyFont="1" applyFill="1" applyBorder="1" applyAlignment="1">
      <alignment/>
    </xf>
    <xf numFmtId="0" fontId="22" fillId="19" borderId="17" xfId="0" applyFont="1" applyFill="1" applyBorder="1" applyAlignment="1">
      <alignment/>
    </xf>
    <xf numFmtId="0" fontId="22" fillId="0" borderId="17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left" wrapText="1"/>
    </xf>
    <xf numFmtId="0" fontId="22" fillId="0" borderId="0" xfId="0" applyFont="1" applyBorder="1" applyAlignment="1">
      <alignment/>
    </xf>
    <xf numFmtId="210" fontId="22" fillId="0" borderId="0" xfId="88" applyNumberFormat="1" applyFont="1" applyFill="1" applyBorder="1" applyAlignment="1">
      <alignment/>
    </xf>
    <xf numFmtId="43" fontId="22" fillId="0" borderId="0" xfId="88" applyNumberFormat="1" applyFont="1" applyFill="1" applyBorder="1" applyAlignment="1">
      <alignment/>
    </xf>
    <xf numFmtId="0" fontId="21" fillId="19" borderId="17" xfId="0" applyFont="1" applyFill="1" applyBorder="1" applyAlignment="1">
      <alignment horizontal="right"/>
    </xf>
    <xf numFmtId="212" fontId="22" fillId="0" borderId="0" xfId="0" applyNumberFormat="1" applyFont="1" applyFill="1" applyAlignment="1">
      <alignment/>
    </xf>
    <xf numFmtId="0" fontId="22" fillId="0" borderId="19" xfId="0" applyFont="1" applyBorder="1" applyAlignment="1">
      <alignment horizontal="right"/>
    </xf>
    <xf numFmtId="0" fontId="22" fillId="0" borderId="0" xfId="0" applyFont="1" applyAlignment="1">
      <alignment horizontal="right"/>
    </xf>
    <xf numFmtId="210" fontId="72" fillId="0" borderId="9" xfId="88" applyNumberFormat="1" applyFont="1" applyFill="1" applyBorder="1" applyAlignment="1">
      <alignment horizontal="center" vertical="center" wrapText="1"/>
    </xf>
    <xf numFmtId="2" fontId="72" fillId="19" borderId="12" xfId="136" applyNumberFormat="1" applyFont="1" applyFill="1" applyBorder="1" applyAlignment="1">
      <alignment horizontal="center" vertical="center" wrapText="1"/>
      <protection/>
    </xf>
    <xf numFmtId="1" fontId="72" fillId="19" borderId="12" xfId="136" applyNumberFormat="1" applyFont="1" applyFill="1" applyBorder="1" applyAlignment="1">
      <alignment horizontal="center" vertical="center" wrapText="1"/>
      <protection/>
    </xf>
    <xf numFmtId="43" fontId="72" fillId="19" borderId="12" xfId="88" applyNumberFormat="1" applyFont="1" applyFill="1" applyBorder="1" applyAlignment="1">
      <alignment horizontal="center" vertical="center" wrapText="1"/>
    </xf>
    <xf numFmtId="210" fontId="72" fillId="19" borderId="12" xfId="88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/>
    </xf>
    <xf numFmtId="0" fontId="15" fillId="0" borderId="17" xfId="0" applyFont="1" applyBorder="1" applyAlignment="1">
      <alignment/>
    </xf>
    <xf numFmtId="211" fontId="19" fillId="0" borderId="0" xfId="88" applyNumberFormat="1" applyFont="1" applyAlignment="1">
      <alignment/>
    </xf>
    <xf numFmtId="0" fontId="15" fillId="0" borderId="19" xfId="0" applyFont="1" applyBorder="1" applyAlignment="1">
      <alignment/>
    </xf>
    <xf numFmtId="208" fontId="72" fillId="19" borderId="12" xfId="88" applyNumberFormat="1" applyFont="1" applyFill="1" applyBorder="1" applyAlignment="1">
      <alignment horizontal="center" vertical="center" wrapText="1"/>
    </xf>
    <xf numFmtId="43" fontId="72" fillId="19" borderId="12" xfId="88" applyFont="1" applyFill="1" applyBorder="1" applyAlignment="1">
      <alignment horizontal="center" vertical="center" wrapText="1"/>
    </xf>
    <xf numFmtId="2" fontId="72" fillId="0" borderId="20" xfId="136" applyNumberFormat="1" applyFont="1" applyFill="1" applyBorder="1" applyAlignment="1">
      <alignment horizontal="center" vertical="center" wrapText="1"/>
      <protection/>
    </xf>
    <xf numFmtId="208" fontId="72" fillId="0" borderId="20" xfId="88" applyNumberFormat="1" applyFont="1" applyFill="1" applyBorder="1" applyAlignment="1">
      <alignment horizontal="center" vertical="center" wrapText="1"/>
    </xf>
    <xf numFmtId="1" fontId="72" fillId="0" borderId="20" xfId="136" applyNumberFormat="1" applyFont="1" applyFill="1" applyBorder="1" applyAlignment="1">
      <alignment horizontal="center" vertical="center" wrapText="1"/>
      <protection/>
    </xf>
    <xf numFmtId="43" fontId="72" fillId="0" borderId="20" xfId="88" applyFont="1" applyFill="1" applyBorder="1" applyAlignment="1">
      <alignment horizontal="center" vertical="center" wrapText="1"/>
    </xf>
    <xf numFmtId="210" fontId="72" fillId="0" borderId="20" xfId="88" applyNumberFormat="1" applyFont="1" applyFill="1" applyBorder="1" applyAlignment="1">
      <alignment horizontal="center" vertical="center" wrapText="1"/>
    </xf>
    <xf numFmtId="208" fontId="75" fillId="0" borderId="20" xfId="88" applyNumberFormat="1" applyFont="1" applyFill="1" applyBorder="1" applyAlignment="1">
      <alignment horizontal="center" vertical="center" wrapText="1"/>
    </xf>
    <xf numFmtId="2" fontId="75" fillId="0" borderId="20" xfId="136" applyNumberFormat="1" applyFont="1" applyFill="1" applyBorder="1" applyAlignment="1">
      <alignment horizontal="center" vertical="center" wrapText="1"/>
      <protection/>
    </xf>
    <xf numFmtId="210" fontId="75" fillId="0" borderId="20" xfId="88" applyNumberFormat="1" applyFont="1" applyFill="1" applyBorder="1" applyAlignment="1">
      <alignment horizontal="center" vertical="center" wrapText="1"/>
    </xf>
    <xf numFmtId="211" fontId="75" fillId="0" borderId="20" xfId="88" applyNumberFormat="1" applyFont="1" applyFill="1" applyBorder="1" applyAlignment="1">
      <alignment horizontal="center" vertical="center" wrapText="1"/>
    </xf>
    <xf numFmtId="1" fontId="75" fillId="0" borderId="20" xfId="136" applyNumberFormat="1" applyFont="1" applyFill="1" applyBorder="1" applyAlignment="1">
      <alignment horizontal="center" vertical="center" wrapText="1"/>
      <protection/>
    </xf>
    <xf numFmtId="43" fontId="75" fillId="0" borderId="20" xfId="88" applyFont="1" applyFill="1" applyBorder="1" applyAlignment="1">
      <alignment horizontal="center" vertical="center" wrapText="1"/>
    </xf>
    <xf numFmtId="212" fontId="19" fillId="0" borderId="0" xfId="0" applyNumberFormat="1" applyFont="1" applyAlignment="1">
      <alignment/>
    </xf>
    <xf numFmtId="0" fontId="22" fillId="0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Border="1" applyAlignment="1">
      <alignment/>
    </xf>
    <xf numFmtId="208" fontId="15" fillId="0" borderId="19" xfId="88" applyNumberFormat="1" applyFont="1" applyBorder="1" applyAlignment="1">
      <alignment/>
    </xf>
    <xf numFmtId="208" fontId="19" fillId="0" borderId="0" xfId="88" applyNumberFormat="1" applyFont="1" applyAlignment="1">
      <alignment/>
    </xf>
    <xf numFmtId="208" fontId="75" fillId="19" borderId="20" xfId="88" applyNumberFormat="1" applyFont="1" applyFill="1" applyBorder="1" applyAlignment="1">
      <alignment horizontal="center" vertical="center" wrapText="1"/>
    </xf>
    <xf numFmtId="2" fontId="75" fillId="19" borderId="20" xfId="136" applyNumberFormat="1" applyFont="1" applyFill="1" applyBorder="1" applyAlignment="1">
      <alignment horizontal="center" vertical="center" wrapText="1"/>
      <protection/>
    </xf>
    <xf numFmtId="210" fontId="75" fillId="19" borderId="20" xfId="88" applyNumberFormat="1" applyFont="1" applyFill="1" applyBorder="1" applyAlignment="1">
      <alignment horizontal="center" vertical="center" wrapText="1"/>
    </xf>
    <xf numFmtId="43" fontId="73" fillId="19" borderId="20" xfId="88" applyFont="1" applyFill="1" applyBorder="1" applyAlignment="1">
      <alignment horizontal="center" vertical="center" wrapText="1"/>
    </xf>
    <xf numFmtId="1" fontId="75" fillId="19" borderId="20" xfId="136" applyNumberFormat="1" applyFont="1" applyFill="1" applyBorder="1" applyAlignment="1">
      <alignment horizontal="center" vertical="center" wrapText="1"/>
      <protection/>
    </xf>
    <xf numFmtId="212" fontId="22" fillId="0" borderId="23" xfId="0" applyNumberFormat="1" applyFont="1" applyBorder="1" applyAlignment="1">
      <alignment/>
    </xf>
    <xf numFmtId="210" fontId="22" fillId="0" borderId="24" xfId="88" applyNumberFormat="1" applyFont="1" applyBorder="1" applyAlignment="1">
      <alignment/>
    </xf>
    <xf numFmtId="210" fontId="22" fillId="0" borderId="0" xfId="88" applyNumberFormat="1" applyFont="1" applyBorder="1" applyAlignment="1">
      <alignment/>
    </xf>
    <xf numFmtId="208" fontId="71" fillId="0" borderId="20" xfId="88" applyNumberFormat="1" applyFont="1" applyFill="1" applyBorder="1" applyAlignment="1">
      <alignment horizontal="center" vertical="center" wrapText="1"/>
    </xf>
    <xf numFmtId="208" fontId="71" fillId="0" borderId="21" xfId="88" applyNumberFormat="1" applyFont="1" applyFill="1" applyBorder="1" applyAlignment="1">
      <alignment horizontal="center" vertical="center" wrapText="1"/>
    </xf>
    <xf numFmtId="169" fontId="26" fillId="0" borderId="17" xfId="135" applyNumberFormat="1" applyFont="1" applyBorder="1" applyAlignment="1">
      <alignment vertical="top"/>
      <protection/>
    </xf>
    <xf numFmtId="208" fontId="26" fillId="0" borderId="19" xfId="88" applyNumberFormat="1" applyFont="1" applyBorder="1" applyAlignment="1">
      <alignment/>
    </xf>
    <xf numFmtId="169" fontId="26" fillId="0" borderId="19" xfId="135" applyNumberFormat="1" applyFont="1" applyBorder="1" applyAlignment="1">
      <alignment vertical="top"/>
      <protection/>
    </xf>
    <xf numFmtId="210" fontId="22" fillId="0" borderId="0" xfId="0" applyNumberFormat="1" applyFont="1" applyAlignment="1">
      <alignment/>
    </xf>
    <xf numFmtId="0" fontId="22" fillId="0" borderId="20" xfId="0" applyNumberFormat="1" applyFont="1" applyFill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>
      <alignment/>
    </xf>
    <xf numFmtId="0" fontId="15" fillId="0" borderId="22" xfId="0" applyFont="1" applyFill="1" applyBorder="1" applyAlignment="1">
      <alignment/>
    </xf>
    <xf numFmtId="0" fontId="19" fillId="0" borderId="9" xfId="0" applyFont="1" applyBorder="1" applyAlignment="1">
      <alignment/>
    </xf>
    <xf numFmtId="2" fontId="72" fillId="19" borderId="9" xfId="136" applyNumberFormat="1" applyFont="1" applyFill="1" applyBorder="1" applyAlignment="1">
      <alignment horizontal="center" vertical="center" wrapText="1"/>
      <protection/>
    </xf>
    <xf numFmtId="208" fontId="19" fillId="0" borderId="9" xfId="88" applyNumberFormat="1" applyFont="1" applyBorder="1" applyAlignment="1">
      <alignment/>
    </xf>
    <xf numFmtId="210" fontId="75" fillId="0" borderId="9" xfId="88" applyNumberFormat="1" applyFont="1" applyFill="1" applyBorder="1" applyAlignment="1">
      <alignment horizontal="center" vertical="center" wrapText="1"/>
    </xf>
    <xf numFmtId="211" fontId="75" fillId="0" borderId="9" xfId="88" applyNumberFormat="1" applyFont="1" applyFill="1" applyBorder="1" applyAlignment="1">
      <alignment horizontal="center" vertical="center" wrapText="1"/>
    </xf>
    <xf numFmtId="1" fontId="75" fillId="0" borderId="9" xfId="136" applyNumberFormat="1" applyFont="1" applyFill="1" applyBorder="1" applyAlignment="1">
      <alignment horizontal="center" vertical="center" wrapText="1"/>
      <protection/>
    </xf>
    <xf numFmtId="43" fontId="75" fillId="0" borderId="9" xfId="88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75" fillId="0" borderId="0" xfId="0" applyFont="1" applyAlignment="1">
      <alignment/>
    </xf>
    <xf numFmtId="210" fontId="73" fillId="0" borderId="9" xfId="88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5" fillId="0" borderId="17" xfId="0" applyFont="1" applyBorder="1" applyAlignment="1">
      <alignment horizontal="center"/>
    </xf>
    <xf numFmtId="0" fontId="75" fillId="0" borderId="17" xfId="0" applyFont="1" applyBorder="1" applyAlignment="1">
      <alignment/>
    </xf>
    <xf numFmtId="210" fontId="75" fillId="0" borderId="17" xfId="88" applyNumberFormat="1" applyFont="1" applyBorder="1" applyAlignment="1">
      <alignment/>
    </xf>
    <xf numFmtId="0" fontId="73" fillId="0" borderId="17" xfId="0" applyFont="1" applyFill="1" applyBorder="1" applyAlignment="1">
      <alignment horizontal="center"/>
    </xf>
    <xf numFmtId="0" fontId="73" fillId="0" borderId="17" xfId="0" applyFont="1" applyFill="1" applyBorder="1" applyAlignment="1">
      <alignment/>
    </xf>
    <xf numFmtId="0" fontId="73" fillId="0" borderId="17" xfId="0" applyFont="1" applyBorder="1" applyAlignment="1">
      <alignment horizontal="center"/>
    </xf>
    <xf numFmtId="210" fontId="75" fillId="0" borderId="17" xfId="88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7" fillId="0" borderId="17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19" xfId="0" applyFont="1" applyBorder="1" applyAlignment="1">
      <alignment horizontal="center"/>
    </xf>
    <xf numFmtId="0" fontId="75" fillId="0" borderId="19" xfId="0" applyFont="1" applyBorder="1" applyAlignment="1">
      <alignment/>
    </xf>
    <xf numFmtId="0" fontId="75" fillId="0" borderId="0" xfId="0" applyFont="1" applyAlignment="1">
      <alignment horizontal="center"/>
    </xf>
    <xf numFmtId="210" fontId="75" fillId="0" borderId="0" xfId="88" applyNumberFormat="1" applyFont="1" applyAlignment="1">
      <alignment/>
    </xf>
    <xf numFmtId="1" fontId="84" fillId="0" borderId="9" xfId="134" applyNumberFormat="1" applyFont="1" applyFill="1" applyBorder="1" applyAlignment="1">
      <alignment horizontal="center" vertical="center" wrapText="1"/>
      <protection/>
    </xf>
    <xf numFmtId="210" fontId="84" fillId="0" borderId="9" xfId="88" applyNumberFormat="1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210" fontId="75" fillId="0" borderId="0" xfId="88" applyNumberFormat="1" applyFont="1" applyFill="1" applyAlignment="1">
      <alignment/>
    </xf>
    <xf numFmtId="210" fontId="84" fillId="0" borderId="9" xfId="88" applyNumberFormat="1" applyFont="1" applyFill="1" applyBorder="1" applyAlignment="1">
      <alignment horizontal="center" vertical="center" wrapText="1"/>
    </xf>
    <xf numFmtId="49" fontId="73" fillId="0" borderId="22" xfId="134" applyNumberFormat="1" applyFont="1" applyFill="1" applyBorder="1" applyAlignment="1">
      <alignment horizontal="center" vertical="center"/>
      <protection/>
    </xf>
    <xf numFmtId="49" fontId="73" fillId="0" borderId="22" xfId="134" applyNumberFormat="1" applyFont="1" applyFill="1" applyBorder="1" applyAlignment="1">
      <alignment horizontal="center" vertical="center" wrapText="1"/>
      <protection/>
    </xf>
    <xf numFmtId="0" fontId="73" fillId="0" borderId="22" xfId="134" applyFont="1" applyFill="1" applyBorder="1" applyAlignment="1">
      <alignment horizontal="center" vertical="center"/>
      <protection/>
    </xf>
    <xf numFmtId="210" fontId="73" fillId="0" borderId="22" xfId="88" applyNumberFormat="1" applyFont="1" applyFill="1" applyBorder="1" applyAlignment="1">
      <alignment horizontal="center" vertical="center"/>
    </xf>
    <xf numFmtId="1" fontId="84" fillId="0" borderId="22" xfId="134" applyNumberFormat="1" applyFont="1" applyFill="1" applyBorder="1" applyAlignment="1" quotePrefix="1">
      <alignment horizontal="center" vertical="center" wrapText="1"/>
      <protection/>
    </xf>
    <xf numFmtId="2" fontId="84" fillId="0" borderId="22" xfId="134" applyNumberFormat="1" applyFont="1" applyFill="1" applyBorder="1" applyAlignment="1" quotePrefix="1">
      <alignment horizontal="center" vertical="center" wrapText="1"/>
      <protection/>
    </xf>
    <xf numFmtId="2" fontId="75" fillId="0" borderId="17" xfId="88" applyNumberFormat="1" applyFont="1" applyFill="1" applyBorder="1" applyAlignment="1">
      <alignment/>
    </xf>
    <xf numFmtId="1" fontId="84" fillId="0" borderId="22" xfId="134" applyNumberFormat="1" applyFont="1" applyFill="1" applyBorder="1" applyAlignment="1" quotePrefix="1">
      <alignment horizontal="right" vertical="center" wrapText="1"/>
      <protection/>
    </xf>
    <xf numFmtId="172" fontId="75" fillId="0" borderId="17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 vertical="center"/>
    </xf>
    <xf numFmtId="172" fontId="75" fillId="0" borderId="17" xfId="0" applyNumberFormat="1" applyFont="1" applyFill="1" applyBorder="1" applyAlignment="1">
      <alignment horizontal="right" vertical="center"/>
    </xf>
    <xf numFmtId="0" fontId="75" fillId="0" borderId="17" xfId="88" applyNumberFormat="1" applyFont="1" applyFill="1" applyBorder="1" applyAlignment="1">
      <alignment/>
    </xf>
    <xf numFmtId="0" fontId="85" fillId="0" borderId="17" xfId="0" applyFont="1" applyBorder="1" applyAlignment="1">
      <alignment/>
    </xf>
    <xf numFmtId="0" fontId="85" fillId="0" borderId="17" xfId="0" applyFont="1" applyFill="1" applyBorder="1" applyAlignment="1">
      <alignment horizontal="center"/>
    </xf>
    <xf numFmtId="210" fontId="85" fillId="0" borderId="17" xfId="88" applyNumberFormat="1" applyFont="1" applyFill="1" applyBorder="1" applyAlignment="1">
      <alignment/>
    </xf>
    <xf numFmtId="0" fontId="85" fillId="0" borderId="17" xfId="0" applyFont="1" applyBorder="1" applyAlignment="1">
      <alignment wrapText="1"/>
    </xf>
    <xf numFmtId="210" fontId="85" fillId="20" borderId="17" xfId="88" applyNumberFormat="1" applyFont="1" applyFill="1" applyBorder="1" applyAlignment="1">
      <alignment/>
    </xf>
    <xf numFmtId="2" fontId="85" fillId="20" borderId="17" xfId="88" applyNumberFormat="1" applyFont="1" applyFill="1" applyBorder="1" applyAlignment="1">
      <alignment/>
    </xf>
    <xf numFmtId="172" fontId="85" fillId="20" borderId="17" xfId="0" applyNumberFormat="1" applyFont="1" applyFill="1" applyBorder="1" applyAlignment="1">
      <alignment horizontal="right"/>
    </xf>
    <xf numFmtId="172" fontId="85" fillId="20" borderId="17" xfId="0" applyNumberFormat="1" applyFont="1" applyFill="1" applyBorder="1" applyAlignment="1">
      <alignment horizontal="right" vertical="center"/>
    </xf>
    <xf numFmtId="0" fontId="73" fillId="21" borderId="17" xfId="0" applyFont="1" applyFill="1" applyBorder="1" applyAlignment="1">
      <alignment horizontal="center"/>
    </xf>
    <xf numFmtId="0" fontId="73" fillId="21" borderId="17" xfId="0" applyFont="1" applyFill="1" applyBorder="1" applyAlignment="1">
      <alignment horizontal="right"/>
    </xf>
    <xf numFmtId="0" fontId="73" fillId="21" borderId="17" xfId="0" applyFont="1" applyFill="1" applyBorder="1" applyAlignment="1">
      <alignment horizontal="right" vertical="center"/>
    </xf>
    <xf numFmtId="210" fontId="73" fillId="21" borderId="17" xfId="88" applyNumberFormat="1" applyFont="1" applyFill="1" applyBorder="1" applyAlignment="1">
      <alignment/>
    </xf>
    <xf numFmtId="210" fontId="75" fillId="20" borderId="17" xfId="88" applyNumberFormat="1" applyFont="1" applyFill="1" applyBorder="1" applyAlignment="1">
      <alignment/>
    </xf>
    <xf numFmtId="0" fontId="75" fillId="20" borderId="17" xfId="0" applyFont="1" applyFill="1" applyBorder="1" applyAlignment="1">
      <alignment horizontal="right"/>
    </xf>
    <xf numFmtId="0" fontId="75" fillId="20" borderId="17" xfId="0" applyFont="1" applyFill="1" applyBorder="1" applyAlignment="1">
      <alignment horizontal="right" vertical="center"/>
    </xf>
    <xf numFmtId="211" fontId="75" fillId="20" borderId="17" xfId="88" applyNumberFormat="1" applyFont="1" applyFill="1" applyBorder="1" applyAlignment="1">
      <alignment/>
    </xf>
    <xf numFmtId="211" fontId="73" fillId="21" borderId="17" xfId="88" applyNumberFormat="1" applyFont="1" applyFill="1" applyBorder="1" applyAlignment="1">
      <alignment/>
    </xf>
    <xf numFmtId="213" fontId="75" fillId="20" borderId="17" xfId="88" applyNumberFormat="1" applyFont="1" applyFill="1" applyBorder="1" applyAlignment="1">
      <alignment/>
    </xf>
    <xf numFmtId="213" fontId="85" fillId="20" borderId="17" xfId="88" applyNumberFormat="1" applyFont="1" applyFill="1" applyBorder="1" applyAlignment="1">
      <alignment/>
    </xf>
    <xf numFmtId="0" fontId="73" fillId="21" borderId="20" xfId="0" applyFont="1" applyFill="1" applyBorder="1" applyAlignment="1">
      <alignment horizontal="center"/>
    </xf>
    <xf numFmtId="0" fontId="73" fillId="21" borderId="20" xfId="0" applyFont="1" applyFill="1" applyBorder="1" applyAlignment="1">
      <alignment horizontal="right"/>
    </xf>
    <xf numFmtId="0" fontId="73" fillId="21" borderId="20" xfId="0" applyFont="1" applyFill="1" applyBorder="1" applyAlignment="1">
      <alignment horizontal="right" vertical="center"/>
    </xf>
    <xf numFmtId="213" fontId="73" fillId="21" borderId="20" xfId="0" applyNumberFormat="1" applyFont="1" applyFill="1" applyBorder="1" applyAlignment="1">
      <alignment horizontal="right"/>
    </xf>
    <xf numFmtId="49" fontId="73" fillId="21" borderId="12" xfId="134" applyNumberFormat="1" applyFont="1" applyFill="1" applyBorder="1" applyAlignment="1">
      <alignment horizontal="center" vertical="center"/>
      <protection/>
    </xf>
    <xf numFmtId="49" fontId="73" fillId="21" borderId="12" xfId="134" applyNumberFormat="1" applyFont="1" applyFill="1" applyBorder="1" applyAlignment="1">
      <alignment horizontal="center" vertical="center" wrapText="1"/>
      <protection/>
    </xf>
    <xf numFmtId="0" fontId="73" fillId="21" borderId="12" xfId="134" applyFont="1" applyFill="1" applyBorder="1" applyAlignment="1">
      <alignment horizontal="center" vertical="center"/>
      <protection/>
    </xf>
    <xf numFmtId="1" fontId="84" fillId="21" borderId="12" xfId="134" applyNumberFormat="1" applyFont="1" applyFill="1" applyBorder="1" applyAlignment="1" quotePrefix="1">
      <alignment horizontal="center" vertical="center" wrapText="1"/>
      <protection/>
    </xf>
    <xf numFmtId="1" fontId="84" fillId="21" borderId="12" xfId="134" applyNumberFormat="1" applyFont="1" applyFill="1" applyBorder="1" applyAlignment="1" quotePrefix="1">
      <alignment horizontal="right" vertical="center" wrapText="1"/>
      <protection/>
    </xf>
    <xf numFmtId="2" fontId="84" fillId="21" borderId="12" xfId="134" applyNumberFormat="1" applyFont="1" applyFill="1" applyBorder="1" applyAlignment="1" quotePrefix="1">
      <alignment horizontal="center" vertical="center" wrapText="1"/>
      <protection/>
    </xf>
    <xf numFmtId="49" fontId="73" fillId="0" borderId="17" xfId="134" applyNumberFormat="1" applyFont="1" applyFill="1" applyBorder="1" applyAlignment="1">
      <alignment horizontal="center" vertical="center"/>
      <protection/>
    </xf>
    <xf numFmtId="49" fontId="73" fillId="0" borderId="17" xfId="134" applyNumberFormat="1" applyFont="1" applyFill="1" applyBorder="1" applyAlignment="1">
      <alignment horizontal="center" vertical="center" wrapText="1"/>
      <protection/>
    </xf>
    <xf numFmtId="0" fontId="75" fillId="0" borderId="20" xfId="0" applyFont="1" applyBorder="1" applyAlignment="1">
      <alignment/>
    </xf>
    <xf numFmtId="49" fontId="73" fillId="0" borderId="18" xfId="134" applyNumberFormat="1" applyFont="1" applyFill="1" applyBorder="1" applyAlignment="1">
      <alignment horizontal="center" vertical="center"/>
      <protection/>
    </xf>
    <xf numFmtId="49" fontId="73" fillId="0" borderId="18" xfId="134" applyNumberFormat="1" applyFont="1" applyFill="1" applyBorder="1" applyAlignment="1">
      <alignment horizontal="center" vertical="center" wrapText="1"/>
      <protection/>
    </xf>
    <xf numFmtId="172" fontId="75" fillId="20" borderId="17" xfId="0" applyNumberFormat="1" applyFont="1" applyFill="1" applyBorder="1" applyAlignment="1">
      <alignment horizontal="right"/>
    </xf>
    <xf numFmtId="172" fontId="75" fillId="20" borderId="17" xfId="0" applyNumberFormat="1" applyFont="1" applyFill="1" applyBorder="1" applyAlignment="1">
      <alignment horizontal="right" vertical="center"/>
    </xf>
    <xf numFmtId="49" fontId="73" fillId="0" borderId="20" xfId="134" applyNumberFormat="1" applyFont="1" applyFill="1" applyBorder="1" applyAlignment="1">
      <alignment horizontal="center" vertical="center"/>
      <protection/>
    </xf>
    <xf numFmtId="49" fontId="73" fillId="0" borderId="20" xfId="134" applyNumberFormat="1" applyFont="1" applyFill="1" applyBorder="1" applyAlignment="1">
      <alignment horizontal="center" vertical="center" wrapText="1"/>
      <protection/>
    </xf>
    <xf numFmtId="0" fontId="73" fillId="0" borderId="20" xfId="134" applyFont="1" applyFill="1" applyBorder="1" applyAlignment="1">
      <alignment horizontal="center" vertical="center"/>
      <protection/>
    </xf>
    <xf numFmtId="1" fontId="84" fillId="0" borderId="20" xfId="134" applyNumberFormat="1" applyFont="1" applyFill="1" applyBorder="1" applyAlignment="1" quotePrefix="1">
      <alignment horizontal="center" vertical="center" wrapText="1"/>
      <protection/>
    </xf>
    <xf numFmtId="2" fontId="75" fillId="20" borderId="17" xfId="88" applyNumberFormat="1" applyFont="1" applyFill="1" applyBorder="1" applyAlignment="1">
      <alignment/>
    </xf>
    <xf numFmtId="0" fontId="75" fillId="0" borderId="17" xfId="0" applyFont="1" applyFill="1" applyBorder="1" applyAlignment="1">
      <alignment/>
    </xf>
    <xf numFmtId="1" fontId="84" fillId="20" borderId="20" xfId="134" applyNumberFormat="1" applyFont="1" applyFill="1" applyBorder="1" applyAlignment="1" quotePrefix="1">
      <alignment horizontal="right" vertical="center" wrapText="1"/>
      <protection/>
    </xf>
    <xf numFmtId="1" fontId="84" fillId="20" borderId="20" xfId="134" applyNumberFormat="1" applyFont="1" applyFill="1" applyBorder="1" applyAlignment="1" quotePrefix="1">
      <alignment horizontal="center" vertical="center" wrapText="1"/>
      <protection/>
    </xf>
    <xf numFmtId="2" fontId="84" fillId="20" borderId="20" xfId="134" applyNumberFormat="1" applyFont="1" applyFill="1" applyBorder="1" applyAlignment="1" quotePrefix="1">
      <alignment horizontal="center" vertical="center" wrapText="1"/>
      <protection/>
    </xf>
    <xf numFmtId="213" fontId="73" fillId="20" borderId="20" xfId="0" applyNumberFormat="1" applyFont="1" applyFill="1" applyBorder="1" applyAlignment="1">
      <alignment horizontal="right"/>
    </xf>
    <xf numFmtId="217" fontId="84" fillId="0" borderId="22" xfId="134" applyNumberFormat="1" applyFont="1" applyFill="1" applyBorder="1" applyAlignment="1" quotePrefix="1">
      <alignment horizontal="center" vertical="center" wrapText="1"/>
      <protection/>
    </xf>
    <xf numFmtId="0" fontId="75" fillId="20" borderId="17" xfId="0" applyFont="1" applyFill="1" applyBorder="1" applyAlignment="1">
      <alignment horizontal="center"/>
    </xf>
    <xf numFmtId="2" fontId="84" fillId="20" borderId="12" xfId="134" applyNumberFormat="1" applyFont="1" applyFill="1" applyBorder="1" applyAlignment="1" quotePrefix="1">
      <alignment horizontal="center" vertical="center" wrapText="1"/>
      <protection/>
    </xf>
    <xf numFmtId="0" fontId="73" fillId="20" borderId="20" xfId="0" applyFont="1" applyFill="1" applyBorder="1" applyAlignment="1">
      <alignment horizontal="center"/>
    </xf>
    <xf numFmtId="210" fontId="73" fillId="20" borderId="17" xfId="88" applyNumberFormat="1" applyFont="1" applyFill="1" applyBorder="1" applyAlignment="1">
      <alignment/>
    </xf>
    <xf numFmtId="0" fontId="75" fillId="0" borderId="20" xfId="0" applyFont="1" applyBorder="1" applyAlignment="1">
      <alignment horizontal="center"/>
    </xf>
    <xf numFmtId="49" fontId="73" fillId="0" borderId="12" xfId="134" applyNumberFormat="1" applyFont="1" applyFill="1" applyBorder="1" applyAlignment="1">
      <alignment horizontal="center" vertical="center"/>
      <protection/>
    </xf>
    <xf numFmtId="49" fontId="73" fillId="0" borderId="12" xfId="134" applyNumberFormat="1" applyFont="1" applyFill="1" applyBorder="1" applyAlignment="1">
      <alignment horizontal="center" vertical="center" wrapText="1"/>
      <protection/>
    </xf>
    <xf numFmtId="0" fontId="75" fillId="0" borderId="12" xfId="0" applyFont="1" applyBorder="1" applyAlignment="1">
      <alignment/>
    </xf>
    <xf numFmtId="211" fontId="75" fillId="0" borderId="17" xfId="88" applyNumberFormat="1" applyFont="1" applyBorder="1" applyAlignment="1">
      <alignment/>
    </xf>
    <xf numFmtId="1" fontId="73" fillId="0" borderId="9" xfId="134" applyNumberFormat="1" applyFont="1" applyFill="1" applyBorder="1" applyAlignment="1">
      <alignment horizontal="center" vertical="center" wrapText="1"/>
      <protection/>
    </xf>
    <xf numFmtId="0" fontId="77" fillId="0" borderId="17" xfId="0" applyFont="1" applyFill="1" applyBorder="1" applyAlignment="1">
      <alignment horizontal="center"/>
    </xf>
    <xf numFmtId="210" fontId="77" fillId="0" borderId="17" xfId="88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3" fillId="0" borderId="9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49" fontId="73" fillId="0" borderId="25" xfId="134" applyNumberFormat="1" applyFont="1" applyFill="1" applyBorder="1" applyAlignment="1">
      <alignment horizontal="center" vertical="center"/>
      <protection/>
    </xf>
    <xf numFmtId="49" fontId="73" fillId="0" borderId="21" xfId="134" applyNumberFormat="1" applyFont="1" applyFill="1" applyBorder="1" applyAlignment="1">
      <alignment horizontal="center" vertical="center"/>
      <protection/>
    </xf>
    <xf numFmtId="0" fontId="73" fillId="0" borderId="25" xfId="134" applyFont="1" applyFill="1" applyBorder="1" applyAlignment="1">
      <alignment horizontal="center" vertical="center"/>
      <protection/>
    </xf>
    <xf numFmtId="0" fontId="73" fillId="0" borderId="21" xfId="134" applyFont="1" applyFill="1" applyBorder="1" applyAlignment="1">
      <alignment horizontal="center" vertical="center"/>
      <protection/>
    </xf>
    <xf numFmtId="49" fontId="73" fillId="0" borderId="25" xfId="134" applyNumberFormat="1" applyFont="1" applyFill="1" applyBorder="1" applyAlignment="1">
      <alignment horizontal="center" vertical="center" wrapText="1"/>
      <protection/>
    </xf>
    <xf numFmtId="49" fontId="73" fillId="0" borderId="21" xfId="134" applyNumberFormat="1" applyFont="1" applyFill="1" applyBorder="1" applyAlignment="1">
      <alignment horizontal="center" vertical="center" wrapText="1"/>
      <protection/>
    </xf>
    <xf numFmtId="1" fontId="84" fillId="0" borderId="15" xfId="134" applyNumberFormat="1" applyFont="1" applyFill="1" applyBorder="1" applyAlignment="1">
      <alignment horizontal="center" vertical="center" wrapText="1"/>
      <protection/>
    </xf>
    <xf numFmtId="1" fontId="84" fillId="0" borderId="5" xfId="134" applyNumberFormat="1" applyFont="1" applyFill="1" applyBorder="1" applyAlignment="1">
      <alignment horizontal="center" vertical="center" wrapText="1"/>
      <protection/>
    </xf>
    <xf numFmtId="1" fontId="84" fillId="0" borderId="26" xfId="134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2" fontId="72" fillId="0" borderId="25" xfId="136" applyNumberFormat="1" applyFont="1" applyFill="1" applyBorder="1" applyAlignment="1">
      <alignment horizontal="center" vertical="center" wrapText="1"/>
      <protection/>
    </xf>
    <xf numFmtId="2" fontId="72" fillId="0" borderId="21" xfId="136" applyNumberFormat="1" applyFont="1" applyFill="1" applyBorder="1" applyAlignment="1">
      <alignment horizontal="center" vertical="center" wrapText="1"/>
      <protection/>
    </xf>
    <xf numFmtId="2" fontId="72" fillId="0" borderId="9" xfId="136" applyNumberFormat="1" applyFont="1" applyFill="1" applyBorder="1" applyAlignment="1">
      <alignment horizontal="center" vertical="center" wrapText="1"/>
      <protection/>
    </xf>
    <xf numFmtId="1" fontId="72" fillId="0" borderId="9" xfId="136" applyNumberFormat="1" applyFont="1" applyFill="1" applyBorder="1" applyAlignment="1">
      <alignment horizontal="center" vertical="center" wrapText="1"/>
      <protection/>
    </xf>
    <xf numFmtId="210" fontId="72" fillId="0" borderId="25" xfId="88" applyNumberFormat="1" applyFont="1" applyFill="1" applyBorder="1" applyAlignment="1">
      <alignment horizontal="center" vertical="center" wrapText="1"/>
    </xf>
    <xf numFmtId="210" fontId="72" fillId="0" borderId="21" xfId="88" applyNumberFormat="1" applyFont="1" applyFill="1" applyBorder="1" applyAlignment="1">
      <alignment horizontal="center" vertical="center" wrapText="1"/>
    </xf>
    <xf numFmtId="2" fontId="72" fillId="0" borderId="15" xfId="136" applyNumberFormat="1" applyFont="1" applyFill="1" applyBorder="1" applyAlignment="1">
      <alignment horizontal="center" vertical="center" wrapText="1"/>
      <protection/>
    </xf>
    <xf numFmtId="2" fontId="72" fillId="0" borderId="5" xfId="136" applyNumberFormat="1" applyFont="1" applyFill="1" applyBorder="1" applyAlignment="1">
      <alignment horizontal="center" vertical="center" wrapText="1"/>
      <protection/>
    </xf>
    <xf numFmtId="2" fontId="72" fillId="0" borderId="26" xfId="136" applyNumberFormat="1" applyFont="1" applyFill="1" applyBorder="1" applyAlignment="1">
      <alignment horizontal="center" vertical="center" wrapText="1"/>
      <protection/>
    </xf>
    <xf numFmtId="1" fontId="72" fillId="0" borderId="25" xfId="136" applyNumberFormat="1" applyFont="1" applyFill="1" applyBorder="1" applyAlignment="1">
      <alignment horizontal="center" vertical="center" wrapText="1"/>
      <protection/>
    </xf>
    <xf numFmtId="1" fontId="72" fillId="0" borderId="21" xfId="136" applyNumberFormat="1" applyFont="1" applyFill="1" applyBorder="1" applyAlignment="1">
      <alignment horizontal="center" vertical="center" wrapText="1"/>
      <protection/>
    </xf>
    <xf numFmtId="0" fontId="72" fillId="0" borderId="2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210" fontId="72" fillId="0" borderId="27" xfId="88" applyNumberFormat="1" applyFont="1" applyFill="1" applyBorder="1" applyAlignment="1">
      <alignment horizontal="center" vertical="center" wrapText="1"/>
    </xf>
    <xf numFmtId="208" fontId="72" fillId="0" borderId="9" xfId="88" applyNumberFormat="1" applyFont="1" applyFill="1" applyBorder="1" applyAlignment="1">
      <alignment horizontal="center" vertical="center" wrapText="1"/>
    </xf>
    <xf numFmtId="1" fontId="72" fillId="0" borderId="15" xfId="136" applyNumberFormat="1" applyFont="1" applyFill="1" applyBorder="1" applyAlignment="1">
      <alignment horizontal="center" vertical="center" wrapText="1"/>
      <protection/>
    </xf>
    <xf numFmtId="1" fontId="72" fillId="0" borderId="5" xfId="136" applyNumberFormat="1" applyFont="1" applyFill="1" applyBorder="1" applyAlignment="1">
      <alignment horizontal="center" vertical="center" wrapText="1"/>
      <protection/>
    </xf>
    <xf numFmtId="1" fontId="72" fillId="0" borderId="26" xfId="136" applyNumberFormat="1" applyFont="1" applyFill="1" applyBorder="1" applyAlignment="1">
      <alignment horizontal="center" vertical="center" wrapText="1"/>
      <protection/>
    </xf>
    <xf numFmtId="1" fontId="72" fillId="0" borderId="28" xfId="136" applyNumberFormat="1" applyFont="1" applyFill="1" applyBorder="1" applyAlignment="1">
      <alignment horizontal="center" vertical="center" wrapText="1"/>
      <protection/>
    </xf>
    <xf numFmtId="1" fontId="72" fillId="0" borderId="29" xfId="136" applyNumberFormat="1" applyFont="1" applyFill="1" applyBorder="1" applyAlignment="1">
      <alignment horizontal="center" vertical="center" wrapText="1"/>
      <protection/>
    </xf>
    <xf numFmtId="210" fontId="72" fillId="0" borderId="9" xfId="88" applyNumberFormat="1" applyFont="1" applyFill="1" applyBorder="1" applyAlignment="1">
      <alignment horizontal="center" vertical="center" wrapText="1"/>
    </xf>
    <xf numFmtId="210" fontId="72" fillId="0" borderId="15" xfId="88" applyNumberFormat="1" applyFont="1" applyFill="1" applyBorder="1" applyAlignment="1">
      <alignment horizontal="center" vertical="center" wrapText="1"/>
    </xf>
    <xf numFmtId="210" fontId="72" fillId="0" borderId="26" xfId="88" applyNumberFormat="1" applyFont="1" applyFill="1" applyBorder="1" applyAlignment="1">
      <alignment horizontal="center" vertical="center" wrapText="1"/>
    </xf>
    <xf numFmtId="1" fontId="71" fillId="0" borderId="28" xfId="136" applyNumberFormat="1" applyFont="1" applyFill="1" applyBorder="1" applyAlignment="1">
      <alignment horizontal="center" vertical="center" wrapText="1"/>
      <protection/>
    </xf>
    <xf numFmtId="1" fontId="71" fillId="0" borderId="29" xfId="136" applyNumberFormat="1" applyFont="1" applyFill="1" applyBorder="1" applyAlignment="1">
      <alignment horizontal="center" vertical="center" wrapText="1"/>
      <protection/>
    </xf>
    <xf numFmtId="2" fontId="71" fillId="0" borderId="9" xfId="136" applyNumberFormat="1" applyFont="1" applyFill="1" applyBorder="1" applyAlignment="1">
      <alignment horizontal="center" vertical="center" wrapText="1"/>
      <protection/>
    </xf>
    <xf numFmtId="2" fontId="71" fillId="0" borderId="25" xfId="136" applyNumberFormat="1" applyFont="1" applyFill="1" applyBorder="1" applyAlignment="1">
      <alignment horizontal="center" vertical="center" wrapText="1"/>
      <protection/>
    </xf>
    <xf numFmtId="2" fontId="71" fillId="0" borderId="21" xfId="136" applyNumberFormat="1" applyFont="1" applyFill="1" applyBorder="1" applyAlignment="1">
      <alignment horizontal="center" vertical="center" wrapText="1"/>
      <protection/>
    </xf>
    <xf numFmtId="2" fontId="71" fillId="0" borderId="30" xfId="136" applyNumberFormat="1" applyFont="1" applyFill="1" applyBorder="1" applyAlignment="1">
      <alignment horizontal="left" vertical="center" wrapText="1"/>
      <protection/>
    </xf>
    <xf numFmtId="2" fontId="71" fillId="0" borderId="31" xfId="136" applyNumberFormat="1" applyFont="1" applyFill="1" applyBorder="1" applyAlignment="1">
      <alignment horizontal="left" vertical="center" wrapText="1"/>
      <protection/>
    </xf>
    <xf numFmtId="2" fontId="71" fillId="0" borderId="0" xfId="136" applyNumberFormat="1" applyFont="1" applyFill="1" applyBorder="1" applyAlignment="1">
      <alignment horizontal="center" vertical="center" wrapText="1"/>
      <protection/>
    </xf>
    <xf numFmtId="1" fontId="71" fillId="0" borderId="0" xfId="136" applyNumberFormat="1" applyFont="1" applyFill="1" applyBorder="1" applyAlignment="1">
      <alignment horizontal="center" vertical="center" wrapText="1"/>
      <protection/>
    </xf>
    <xf numFmtId="1" fontId="71" fillId="0" borderId="9" xfId="136" applyNumberFormat="1" applyFont="1" applyFill="1" applyBorder="1" applyAlignment="1">
      <alignment horizontal="center" vertical="center" wrapText="1"/>
      <protection/>
    </xf>
    <xf numFmtId="210" fontId="73" fillId="0" borderId="9" xfId="88" applyNumberFormat="1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7" fillId="21" borderId="17" xfId="0" applyFont="1" applyFill="1" applyBorder="1" applyAlignment="1">
      <alignment/>
    </xf>
    <xf numFmtId="0" fontId="77" fillId="21" borderId="17" xfId="0" applyFont="1" applyFill="1" applyBorder="1" applyAlignment="1">
      <alignment horizontal="center"/>
    </xf>
    <xf numFmtId="210" fontId="77" fillId="21" borderId="17" xfId="88" applyNumberFormat="1" applyFont="1" applyFill="1" applyBorder="1" applyAlignment="1">
      <alignment/>
    </xf>
    <xf numFmtId="0" fontId="77" fillId="21" borderId="17" xfId="0" applyFont="1" applyFill="1" applyBorder="1" applyAlignment="1">
      <alignment horizontal="center" vertical="center"/>
    </xf>
    <xf numFmtId="0" fontId="73" fillId="21" borderId="17" xfId="0" applyFont="1" applyFill="1" applyBorder="1" applyAlignment="1">
      <alignment horizontal="center" vertical="center"/>
    </xf>
    <xf numFmtId="0" fontId="73" fillId="21" borderId="17" xfId="0" applyFont="1" applyFill="1" applyBorder="1" applyAlignment="1">
      <alignment/>
    </xf>
    <xf numFmtId="211" fontId="76" fillId="0" borderId="0" xfId="0" applyNumberFormat="1" applyFont="1" applyFill="1" applyAlignment="1">
      <alignment horizontal="center"/>
    </xf>
    <xf numFmtId="211" fontId="73" fillId="0" borderId="15" xfId="88" applyNumberFormat="1" applyFont="1" applyFill="1" applyBorder="1" applyAlignment="1">
      <alignment horizontal="center" vertical="center"/>
    </xf>
    <xf numFmtId="211" fontId="73" fillId="0" borderId="5" xfId="88" applyNumberFormat="1" applyFont="1" applyFill="1" applyBorder="1" applyAlignment="1">
      <alignment horizontal="center" vertical="center"/>
    </xf>
    <xf numFmtId="211" fontId="73" fillId="0" borderId="26" xfId="88" applyNumberFormat="1" applyFont="1" applyFill="1" applyBorder="1" applyAlignment="1">
      <alignment horizontal="center" vertical="center"/>
    </xf>
    <xf numFmtId="211" fontId="73" fillId="0" borderId="9" xfId="88" applyNumberFormat="1" applyFont="1" applyFill="1" applyBorder="1" applyAlignment="1">
      <alignment horizontal="center" vertical="center"/>
    </xf>
    <xf numFmtId="211" fontId="77" fillId="20" borderId="17" xfId="88" applyNumberFormat="1" applyFont="1" applyFill="1" applyBorder="1" applyAlignment="1">
      <alignment/>
    </xf>
    <xf numFmtId="211" fontId="73" fillId="20" borderId="17" xfId="88" applyNumberFormat="1" applyFont="1" applyFill="1" applyBorder="1" applyAlignment="1">
      <alignment/>
    </xf>
    <xf numFmtId="211" fontId="75" fillId="0" borderId="0" xfId="88" applyNumberFormat="1" applyFont="1" applyFill="1" applyAlignment="1">
      <alignment/>
    </xf>
    <xf numFmtId="0" fontId="73" fillId="0" borderId="12" xfId="134" applyFont="1" applyFill="1" applyBorder="1" applyAlignment="1">
      <alignment horizontal="center" vertical="center"/>
      <protection/>
    </xf>
    <xf numFmtId="1" fontId="73" fillId="0" borderId="12" xfId="134" applyNumberFormat="1" applyFont="1" applyFill="1" applyBorder="1" applyAlignment="1">
      <alignment horizontal="center" vertical="center" wrapText="1"/>
      <protection/>
    </xf>
    <xf numFmtId="210" fontId="73" fillId="0" borderId="12" xfId="88" applyNumberFormat="1" applyFont="1" applyFill="1" applyBorder="1" applyAlignment="1">
      <alignment horizontal="center" vertical="center"/>
    </xf>
    <xf numFmtId="211" fontId="73" fillId="0" borderId="12" xfId="88" applyNumberFormat="1" applyFont="1" applyFill="1" applyBorder="1" applyAlignment="1">
      <alignment horizontal="center" vertical="center"/>
    </xf>
  </cellXfs>
  <cellStyles count="19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Tong hop may cheu nganh 1" xfId="24"/>
    <cellStyle name="•W€_STDFOR" xfId="25"/>
    <cellStyle name="W_STDFOR" xfId="26"/>
    <cellStyle name="1" xfId="27"/>
    <cellStyle name="¹éºÐÀ²_±âÅ¸" xfId="28"/>
    <cellStyle name="2" xfId="29"/>
    <cellStyle name="20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" xfId="37"/>
    <cellStyle name="4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" xfId="45"/>
    <cellStyle name="6_1. Nha lam viec" xfId="46"/>
    <cellStyle name="6_1.1. Nha da nang" xfId="47"/>
    <cellStyle name="6_1.1. Nha lam viec ngay 13.1.16" xfId="48"/>
    <cellStyle name="6_15. Nha de xe oto" xfId="49"/>
    <cellStyle name="6_2.1. Nha lam viec" xfId="50"/>
    <cellStyle name="6_2.Phan ket cau NLV" xfId="51"/>
    <cellStyle name="6_4.Phan ket cau NLV sua gia vat lieu moi" xfId="52"/>
    <cellStyle name="6_5. Phan ket cau" xfId="53"/>
    <cellStyle name="6_6.Phan ket cau nha lam viec" xfId="54"/>
    <cellStyle name="6_Opensoure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ÅëÈ­ [0]_¿ì¹°Åë" xfId="68"/>
    <cellStyle name="AeE­ [0]_INQUIRY ¿µ¾÷AßAø " xfId="69"/>
    <cellStyle name="ÅëÈ­ [0]_Sheet1" xfId="70"/>
    <cellStyle name="ÅëÈ­_¿ì¹°Åë" xfId="71"/>
    <cellStyle name="AeE­_INQUIRY ¿µ¾÷AßAø " xfId="72"/>
    <cellStyle name="ÅëÈ­_Sheet1" xfId="73"/>
    <cellStyle name="ÄÞ¸¶ [0]_¿ì¹°Åë" xfId="74"/>
    <cellStyle name="AÞ¸¶ [0]_INQUIRY ¿?¾÷AßAø " xfId="75"/>
    <cellStyle name="ÄÞ¸¶ [0]_L601CPT" xfId="76"/>
    <cellStyle name="ÄÞ¸¶_¿ì¹°Åë" xfId="77"/>
    <cellStyle name="AÞ¸¶_INQUIRY ¿?¾÷AßAø " xfId="78"/>
    <cellStyle name="ÄÞ¸¶_L601CPT" xfId="79"/>
    <cellStyle name="Bad" xfId="80"/>
    <cellStyle name="C?AØ_¿?¾÷CoE² " xfId="81"/>
    <cellStyle name="Ç¥ÁØ_#2(M17)_1" xfId="82"/>
    <cellStyle name="C￥AØ_¿μ¾÷CoE² " xfId="83"/>
    <cellStyle name="Ç¥ÁØ_±³°¢¼ö·®" xfId="84"/>
    <cellStyle name="Calculation" xfId="85"/>
    <cellStyle name="category" xfId="86"/>
    <cellStyle name="Check Cell" xfId="87"/>
    <cellStyle name="Comma" xfId="88"/>
    <cellStyle name="Comma [0]" xfId="89"/>
    <cellStyle name="comma zerodec" xfId="90"/>
    <cellStyle name="Comma0" xfId="91"/>
    <cellStyle name="Currency" xfId="92"/>
    <cellStyle name="Currency [0]" xfId="93"/>
    <cellStyle name="Currency0" xfId="94"/>
    <cellStyle name="Currency1" xfId="95"/>
    <cellStyle name="D1" xfId="96"/>
    <cellStyle name="Date" xfId="97"/>
    <cellStyle name="Dezimal [0]_UXO VII" xfId="98"/>
    <cellStyle name="Dezimal_UXO VII" xfId="99"/>
    <cellStyle name="Dollar (zero dec)" xfId="100"/>
    <cellStyle name="e" xfId="101"/>
    <cellStyle name="Explanatory Text" xfId="102"/>
    <cellStyle name="f" xfId="103"/>
    <cellStyle name="Fixed" xfId="104"/>
    <cellStyle name="Followed Hyperlink" xfId="105"/>
    <cellStyle name="Good" xfId="106"/>
    <cellStyle name="Grey" xfId="107"/>
    <cellStyle name="HEADER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eading1" xfId="115"/>
    <cellStyle name="Heading2" xfId="116"/>
    <cellStyle name="Hyperlink" xfId="117"/>
    <cellStyle name="Input" xfId="118"/>
    <cellStyle name="Input [yellow]" xfId="119"/>
    <cellStyle name="Linked Cell" xfId="120"/>
    <cellStyle name="Millares [0]_Well Timing" xfId="121"/>
    <cellStyle name="Millares_Well Timing" xfId="122"/>
    <cellStyle name="Model" xfId="123"/>
    <cellStyle name="moi" xfId="124"/>
    <cellStyle name="Moneda [0]_Well Timing" xfId="125"/>
    <cellStyle name="Moneda_Well Timing" xfId="126"/>
    <cellStyle name="Monétaire [0]_TARIFFS DB" xfId="127"/>
    <cellStyle name="Monétaire_TARIFFS DB" xfId="128"/>
    <cellStyle name="n" xfId="129"/>
    <cellStyle name="Neutral" xfId="130"/>
    <cellStyle name="New Times Roman" xfId="131"/>
    <cellStyle name="no dec" xfId="132"/>
    <cellStyle name="Normal - Style1" xfId="133"/>
    <cellStyle name="Normal_BoQ-NhaXuongTieuChuan" xfId="134"/>
    <cellStyle name="Normal_DUTOAN_VnTime1_ver2" xfId="135"/>
    <cellStyle name="Normal_thuan thao diep-18-4" xfId="136"/>
    <cellStyle name="Normal1" xfId="137"/>
    <cellStyle name="Note" xfId="138"/>
    <cellStyle name="Œ…‹æØ‚è [0.00]_laroux" xfId="139"/>
    <cellStyle name="Œ…‹æØ‚è_laroux" xfId="140"/>
    <cellStyle name="oft Excel]&#13;&#10;Comment=The open=/f lines load custom functions into the Paste Function list.&#13;&#10;Maximized=2&#13;&#10;Basics=1&#13;&#10;A" xfId="141"/>
    <cellStyle name="oft Excel]&#13;&#10;Comment=The open=/f lines load custom functions into the Paste Function list.&#13;&#10;Maximized=3&#13;&#10;Basics=1&#13;&#10;A" xfId="142"/>
    <cellStyle name="omma [0]_Mktg Prog" xfId="143"/>
    <cellStyle name="ormal_Sheet1_1" xfId="144"/>
    <cellStyle name="Output" xfId="145"/>
    <cellStyle name="Percent" xfId="146"/>
    <cellStyle name="Percent [2]" xfId="147"/>
    <cellStyle name="s]&#13;&#10;spooler=yes&#13;&#10;load=&#13;&#10;Beep=yes&#13;&#10;NullPort=None&#13;&#10;BorderWidth=3&#13;&#10;CursorBlinkRate=1200&#13;&#10;DoubleClickSpeed=452&#13;&#10;Programs=co" xfId="148"/>
    <cellStyle name="Style 1" xfId="149"/>
    <cellStyle name="style_1" xfId="150"/>
    <cellStyle name="subhead" xfId="151"/>
    <cellStyle name="T" xfId="152"/>
    <cellStyle name="T_1. Nha lam viec" xfId="153"/>
    <cellStyle name="T_1.1. Nha da nang" xfId="154"/>
    <cellStyle name="T_1.1. Nha lam viec ngay 13.1.16" xfId="155"/>
    <cellStyle name="T_15. Nha de xe oto" xfId="156"/>
    <cellStyle name="T_2.1. Nha lam viec" xfId="157"/>
    <cellStyle name="T_2.Phan ket cau NLV" xfId="158"/>
    <cellStyle name="T_4.Phan ket cau NLV sua gia vat lieu moi" xfId="159"/>
    <cellStyle name="T_5. Phan ket cau" xfId="160"/>
    <cellStyle name="T_6.Phan ket cau nha lam viec" xfId="161"/>
    <cellStyle name="T_Opensoure" xfId="162"/>
    <cellStyle name="th" xfId="163"/>
    <cellStyle name="þ_x001D_ð·_x000C_æþ'&#13;ßþU_x0001_Ø_x0005_ü_x0014__x0007__x0001__x0001_" xfId="164"/>
    <cellStyle name="þ_x001D_ðÇ%Uý—&amp;Hý9_x0008_Ÿ s&#10;_x0007__x0001__x0001_" xfId="165"/>
    <cellStyle name="Title" xfId="166"/>
    <cellStyle name="Total" xfId="167"/>
    <cellStyle name="viet" xfId="168"/>
    <cellStyle name="viet2" xfId="169"/>
    <cellStyle name="Währung [0]_UXO VII" xfId="170"/>
    <cellStyle name="Währung_UXO VII" xfId="171"/>
    <cellStyle name="Warning Text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 비목별 월별기술 " xfId="182"/>
    <cellStyle name="콤마_ 비목별 월별기술 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貨幣 [0]_00Q3902REV.1" xfId="190"/>
    <cellStyle name="貨幣[0]_BRE" xfId="191"/>
    <cellStyle name="貨幣_00Q3902REV.1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4"/>
  <sheetViews>
    <sheetView zoomScaleSheetLayoutView="10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" sqref="M5"/>
    </sheetView>
  </sheetViews>
  <sheetFormatPr defaultColWidth="9.140625" defaultRowHeight="12.75"/>
  <cols>
    <col min="1" max="1" width="3.7109375" style="192" bestFit="1" customWidth="1"/>
    <col min="2" max="2" width="9.00390625" style="192" customWidth="1"/>
    <col min="3" max="3" width="36.421875" style="177" customWidth="1"/>
    <col min="4" max="4" width="5.140625" style="197" customWidth="1"/>
    <col min="5" max="5" width="9.7109375" style="209" customWidth="1"/>
    <col min="6" max="6" width="9.57421875" style="210" customWidth="1"/>
    <col min="7" max="7" width="9.7109375" style="210" customWidth="1"/>
    <col min="8" max="8" width="7.57421875" style="198" customWidth="1"/>
    <col min="9" max="10" width="7.57421875" style="198" bestFit="1" customWidth="1"/>
    <col min="11" max="11" width="7.28125" style="198" customWidth="1"/>
    <col min="12" max="12" width="9.00390625" style="198" customWidth="1"/>
    <col min="13" max="13" width="9.57421875" style="198" customWidth="1"/>
    <col min="14" max="14" width="8.140625" style="198" customWidth="1"/>
    <col min="15" max="15" width="9.140625" style="198" customWidth="1"/>
    <col min="16" max="16" width="10.00390625" style="193" customWidth="1"/>
    <col min="17" max="17" width="9.7109375" style="193" customWidth="1"/>
    <col min="18" max="18" width="9.57421875" style="193" bestFit="1" customWidth="1"/>
    <col min="19" max="19" width="10.00390625" style="193" customWidth="1"/>
    <col min="20" max="24" width="9.140625" style="177" customWidth="1"/>
    <col min="25" max="25" width="15.7109375" style="177" bestFit="1" customWidth="1"/>
    <col min="26" max="16384" width="9.140625" style="177" customWidth="1"/>
  </cols>
  <sheetData>
    <row r="1" spans="1:19" ht="16.5">
      <c r="A1" s="274" t="s">
        <v>274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ht="15"/>
    <row r="3" spans="1:19" ht="15" customHeight="1">
      <c r="A3" s="275" t="s">
        <v>1</v>
      </c>
      <c r="B3" s="279" t="s">
        <v>276</v>
      </c>
      <c r="C3" s="277" t="s">
        <v>275</v>
      </c>
      <c r="D3" s="281" t="s">
        <v>284</v>
      </c>
      <c r="E3" s="282"/>
      <c r="F3" s="282"/>
      <c r="G3" s="282"/>
      <c r="H3" s="282"/>
      <c r="I3" s="282"/>
      <c r="J3" s="282"/>
      <c r="K3" s="283"/>
      <c r="L3" s="281" t="s">
        <v>287</v>
      </c>
      <c r="M3" s="282"/>
      <c r="N3" s="282"/>
      <c r="O3" s="283"/>
      <c r="P3" s="178" t="s">
        <v>281</v>
      </c>
      <c r="Q3" s="178" t="s">
        <v>282</v>
      </c>
      <c r="R3" s="178" t="s">
        <v>283</v>
      </c>
      <c r="S3" s="178" t="s">
        <v>362</v>
      </c>
    </row>
    <row r="4" spans="1:19" ht="49.5" customHeight="1">
      <c r="A4" s="276"/>
      <c r="B4" s="280"/>
      <c r="C4" s="278"/>
      <c r="D4" s="194" t="s">
        <v>74</v>
      </c>
      <c r="E4" s="194" t="s">
        <v>294</v>
      </c>
      <c r="F4" s="194" t="s">
        <v>293</v>
      </c>
      <c r="G4" s="194" t="s">
        <v>295</v>
      </c>
      <c r="H4" s="195" t="s">
        <v>277</v>
      </c>
      <c r="I4" s="195" t="s">
        <v>278</v>
      </c>
      <c r="J4" s="195" t="s">
        <v>279</v>
      </c>
      <c r="K4" s="195" t="s">
        <v>280</v>
      </c>
      <c r="L4" s="199" t="s">
        <v>285</v>
      </c>
      <c r="M4" s="199" t="s">
        <v>286</v>
      </c>
      <c r="N4" s="199" t="s">
        <v>289</v>
      </c>
      <c r="O4" s="199" t="s">
        <v>361</v>
      </c>
      <c r="P4" s="178" t="s">
        <v>3</v>
      </c>
      <c r="Q4" s="178" t="s">
        <v>3</v>
      </c>
      <c r="R4" s="178" t="s">
        <v>121</v>
      </c>
      <c r="S4" s="178" t="s">
        <v>301</v>
      </c>
    </row>
    <row r="5" spans="1:19" ht="15.75" customHeight="1">
      <c r="A5" s="200"/>
      <c r="B5" s="201"/>
      <c r="C5" s="202"/>
      <c r="D5" s="204"/>
      <c r="E5" s="207"/>
      <c r="F5" s="207"/>
      <c r="G5" s="207"/>
      <c r="H5" s="204"/>
      <c r="I5" s="204"/>
      <c r="J5" s="204"/>
      <c r="K5" s="259">
        <v>1.3</v>
      </c>
      <c r="L5" s="205">
        <v>-0.55</v>
      </c>
      <c r="M5" s="205">
        <v>0.05</v>
      </c>
      <c r="N5" s="205">
        <v>0.1</v>
      </c>
      <c r="O5" s="205"/>
      <c r="P5" s="203"/>
      <c r="Q5" s="203"/>
      <c r="R5" s="203"/>
      <c r="S5" s="203"/>
    </row>
    <row r="6" spans="1:19" ht="15.75" customHeight="1">
      <c r="A6" s="236" t="s">
        <v>316</v>
      </c>
      <c r="B6" s="237"/>
      <c r="C6" s="238" t="s">
        <v>317</v>
      </c>
      <c r="D6" s="239"/>
      <c r="E6" s="240"/>
      <c r="F6" s="240"/>
      <c r="G6" s="240"/>
      <c r="H6" s="239"/>
      <c r="I6" s="239"/>
      <c r="J6" s="239"/>
      <c r="K6" s="239"/>
      <c r="L6" s="241"/>
      <c r="M6" s="239"/>
      <c r="N6" s="241"/>
      <c r="O6" s="241"/>
      <c r="P6" s="235">
        <f>SUM(P8:P30)</f>
        <v>17.903437500000003</v>
      </c>
      <c r="Q6" s="235">
        <f>SUM(Q8:Q30)</f>
        <v>1.8362500000000004</v>
      </c>
      <c r="R6" s="235">
        <f>SUM(R8:R30)</f>
        <v>4.175625000000001</v>
      </c>
      <c r="S6" s="235">
        <f>SUM(S8:S30)</f>
        <v>12.7475</v>
      </c>
    </row>
    <row r="7" spans="1:19" s="189" customFormat="1" ht="15.75" customHeight="1">
      <c r="A7" s="249"/>
      <c r="B7" s="250"/>
      <c r="C7" s="251" t="s">
        <v>320</v>
      </c>
      <c r="D7" s="252"/>
      <c r="E7" s="255"/>
      <c r="F7" s="255"/>
      <c r="G7" s="255"/>
      <c r="H7" s="256"/>
      <c r="I7" s="256"/>
      <c r="J7" s="256"/>
      <c r="K7" s="256"/>
      <c r="L7" s="257"/>
      <c r="M7" s="256"/>
      <c r="N7" s="257"/>
      <c r="O7" s="257"/>
      <c r="P7" s="258"/>
      <c r="Q7" s="258"/>
      <c r="R7" s="258"/>
      <c r="S7" s="258"/>
    </row>
    <row r="8" spans="1:19" ht="15.75" customHeight="1">
      <c r="A8" s="242"/>
      <c r="B8" s="243"/>
      <c r="C8" s="181" t="s">
        <v>318</v>
      </c>
      <c r="D8" s="196">
        <v>3</v>
      </c>
      <c r="E8" s="247"/>
      <c r="F8" s="248"/>
      <c r="G8" s="248"/>
      <c r="H8" s="186">
        <v>0.7</v>
      </c>
      <c r="I8" s="186">
        <v>0.7</v>
      </c>
      <c r="J8" s="186">
        <v>0.2</v>
      </c>
      <c r="K8" s="186">
        <f>$K$5</f>
        <v>1.3</v>
      </c>
      <c r="L8" s="225"/>
      <c r="M8" s="206">
        <v>-1.3</v>
      </c>
      <c r="N8" s="225">
        <f>$N$5</f>
        <v>0.1</v>
      </c>
      <c r="O8" s="225"/>
      <c r="P8" s="230">
        <f>PRODUCT(D8,G8,IF(G8=0,(H8+$M$5*2),1),IF(G8=0,(I8+$M$5*2),1),K8,($L$5-M8))</f>
        <v>1.8719999999999997</v>
      </c>
      <c r="Q8" s="230">
        <f>PRODUCT(D8,G8,IF(G8=0,(H8+$M$5*2),1),IF(G8=0,(I8+$M$5*2),1),N8)</f>
        <v>0.19199999999999998</v>
      </c>
      <c r="R8" s="230">
        <f>PRODUCT(D8,E8,H8,I8,J8)</f>
        <v>0.294</v>
      </c>
      <c r="S8" s="230">
        <f>PRODUCT(D8,F8,IF(F8=0,(H8+I8)*2,1),J8)</f>
        <v>1.6799999999999997</v>
      </c>
    </row>
    <row r="9" spans="1:19" ht="15.75" customHeight="1">
      <c r="A9" s="242"/>
      <c r="B9" s="243"/>
      <c r="C9" s="181" t="s">
        <v>327</v>
      </c>
      <c r="D9" s="260">
        <f>D8</f>
        <v>3</v>
      </c>
      <c r="E9" s="247"/>
      <c r="F9" s="248"/>
      <c r="G9" s="248"/>
      <c r="H9" s="186">
        <v>0.3</v>
      </c>
      <c r="I9" s="186">
        <v>0.3</v>
      </c>
      <c r="J9" s="186">
        <v>0.15</v>
      </c>
      <c r="K9" s="186">
        <f aca="true" t="shared" si="0" ref="K9:K24">$K$5</f>
        <v>1.3</v>
      </c>
      <c r="L9" s="225"/>
      <c r="M9" s="206">
        <v>-1.3</v>
      </c>
      <c r="N9" s="225">
        <f aca="true" t="shared" si="1" ref="N9:N24">$N$5</f>
        <v>0.1</v>
      </c>
      <c r="O9" s="225"/>
      <c r="P9" s="230" t="s">
        <v>319</v>
      </c>
      <c r="Q9" s="230" t="s">
        <v>319</v>
      </c>
      <c r="R9" s="230">
        <f>PRODUCT(D9,J9/6,(H8*I8+H9*I9+(H8+H9)*(I8+I9)))</f>
        <v>0.1185</v>
      </c>
      <c r="S9" s="230" t="s">
        <v>319</v>
      </c>
    </row>
    <row r="10" spans="1:19" ht="15.75" customHeight="1">
      <c r="A10" s="242"/>
      <c r="B10" s="243"/>
      <c r="C10" s="181" t="s">
        <v>328</v>
      </c>
      <c r="D10" s="196">
        <v>3</v>
      </c>
      <c r="E10" s="247"/>
      <c r="F10" s="248"/>
      <c r="G10" s="248"/>
      <c r="H10" s="186">
        <v>1</v>
      </c>
      <c r="I10" s="186">
        <v>1</v>
      </c>
      <c r="J10" s="186">
        <v>0.2</v>
      </c>
      <c r="K10" s="186">
        <f t="shared" si="0"/>
        <v>1.3</v>
      </c>
      <c r="L10" s="225"/>
      <c r="M10" s="206">
        <v>-1.3</v>
      </c>
      <c r="N10" s="225">
        <f t="shared" si="1"/>
        <v>0.1</v>
      </c>
      <c r="O10" s="225"/>
      <c r="P10" s="230">
        <f>PRODUCT(D10,G10,IF(G10=0,(H10+$M$5*2),1),IF(G10=0,(I10+$M$5*2),1),K10,($L$5-M10))</f>
        <v>3.539250000000001</v>
      </c>
      <c r="Q10" s="230">
        <f>PRODUCT(D10,G10,IF(G10=0,(H10+$M$5*2),1),IF(G10=0,(I10+$M$5*2),1),N10)</f>
        <v>0.3630000000000001</v>
      </c>
      <c r="R10" s="230">
        <f>PRODUCT(D10,E10,H10,I10,J10)</f>
        <v>0.6000000000000001</v>
      </c>
      <c r="S10" s="230">
        <f>PRODUCT(D10,F10,IF(F10=0,(H10+I10)*2,1),J10)</f>
        <v>2.4000000000000004</v>
      </c>
    </row>
    <row r="11" spans="1:19" ht="15.75" customHeight="1">
      <c r="A11" s="242"/>
      <c r="B11" s="243"/>
      <c r="C11" s="181" t="s">
        <v>327</v>
      </c>
      <c r="D11" s="260">
        <f>D10</f>
        <v>3</v>
      </c>
      <c r="E11" s="247"/>
      <c r="F11" s="248"/>
      <c r="G11" s="248"/>
      <c r="H11" s="186">
        <v>0.3</v>
      </c>
      <c r="I11" s="186">
        <v>0.3</v>
      </c>
      <c r="J11" s="186">
        <v>0.15</v>
      </c>
      <c r="K11" s="186">
        <f t="shared" si="0"/>
        <v>1.3</v>
      </c>
      <c r="L11" s="225"/>
      <c r="M11" s="206">
        <v>-1.3</v>
      </c>
      <c r="N11" s="225">
        <f t="shared" si="1"/>
        <v>0.1</v>
      </c>
      <c r="O11" s="225"/>
      <c r="P11" s="230" t="s">
        <v>319</v>
      </c>
      <c r="Q11" s="230" t="s">
        <v>319</v>
      </c>
      <c r="R11" s="230">
        <f>PRODUCT(D11,J11/6,(H10*I10+H11*I11+(H10+H11)*(I10+I11)))</f>
        <v>0.20850000000000002</v>
      </c>
      <c r="S11" s="230" t="s">
        <v>319</v>
      </c>
    </row>
    <row r="12" spans="1:19" ht="15.75" customHeight="1">
      <c r="A12" s="242"/>
      <c r="B12" s="243"/>
      <c r="C12" s="181" t="s">
        <v>329</v>
      </c>
      <c r="D12" s="196">
        <v>2</v>
      </c>
      <c r="E12" s="247"/>
      <c r="F12" s="248"/>
      <c r="G12" s="248"/>
      <c r="H12" s="186">
        <v>1.2</v>
      </c>
      <c r="I12" s="186">
        <v>1.2</v>
      </c>
      <c r="J12" s="186">
        <v>0.2</v>
      </c>
      <c r="K12" s="186">
        <f t="shared" si="0"/>
        <v>1.3</v>
      </c>
      <c r="L12" s="225"/>
      <c r="M12" s="206">
        <v>-1.3</v>
      </c>
      <c r="N12" s="225">
        <f t="shared" si="1"/>
        <v>0.1</v>
      </c>
      <c r="O12" s="225"/>
      <c r="P12" s="230">
        <f>PRODUCT(D12,G12,IF(G12=0,(H12+$M$5*2),1),IF(G12=0,(I12+$M$5*2),1),K12,($L$5-M12))</f>
        <v>3.2955000000000005</v>
      </c>
      <c r="Q12" s="230">
        <f>PRODUCT(D12,G12,IF(G12=0,(H12+$M$5*2),1),IF(G12=0,(I12+$M$5*2),1),N12)</f>
        <v>0.3380000000000001</v>
      </c>
      <c r="R12" s="230">
        <f>PRODUCT(D12,E12,H12,I12,J12)</f>
        <v>0.576</v>
      </c>
      <c r="S12" s="230">
        <f>PRODUCT(D12,F12,IF(F12=0,(H12+I12)*2,1),J12)</f>
        <v>1.92</v>
      </c>
    </row>
    <row r="13" spans="1:19" ht="15.75" customHeight="1">
      <c r="A13" s="242"/>
      <c r="B13" s="243"/>
      <c r="C13" s="181" t="s">
        <v>327</v>
      </c>
      <c r="D13" s="260">
        <f>D12</f>
        <v>2</v>
      </c>
      <c r="E13" s="247"/>
      <c r="F13" s="248"/>
      <c r="G13" s="248"/>
      <c r="H13" s="186">
        <v>0.3</v>
      </c>
      <c r="I13" s="186">
        <v>0.3</v>
      </c>
      <c r="J13" s="186">
        <v>0.15</v>
      </c>
      <c r="K13" s="186">
        <f t="shared" si="0"/>
        <v>1.3</v>
      </c>
      <c r="L13" s="225"/>
      <c r="M13" s="206">
        <v>-1.3</v>
      </c>
      <c r="N13" s="225">
        <f t="shared" si="1"/>
        <v>0.1</v>
      </c>
      <c r="O13" s="225"/>
      <c r="P13" s="230" t="s">
        <v>319</v>
      </c>
      <c r="Q13" s="230" t="s">
        <v>319</v>
      </c>
      <c r="R13" s="230">
        <f>PRODUCT(D13,J13/6,(H12*I12+H13*I13+(H12+H13)*(I12+I13)))</f>
        <v>0.189</v>
      </c>
      <c r="S13" s="230" t="s">
        <v>319</v>
      </c>
    </row>
    <row r="14" spans="1:19" ht="15.75" customHeight="1">
      <c r="A14" s="242"/>
      <c r="B14" s="243"/>
      <c r="C14" s="181" t="s">
        <v>330</v>
      </c>
      <c r="D14" s="196">
        <v>2</v>
      </c>
      <c r="E14" s="247"/>
      <c r="F14" s="248"/>
      <c r="G14" s="248"/>
      <c r="H14" s="186">
        <v>1.1</v>
      </c>
      <c r="I14" s="186">
        <v>1.1</v>
      </c>
      <c r="J14" s="186">
        <v>0.2</v>
      </c>
      <c r="K14" s="186">
        <f t="shared" si="0"/>
        <v>1.3</v>
      </c>
      <c r="L14" s="225"/>
      <c r="M14" s="206">
        <v>-1.3</v>
      </c>
      <c r="N14" s="225">
        <f t="shared" si="1"/>
        <v>0.1</v>
      </c>
      <c r="O14" s="225"/>
      <c r="P14" s="230">
        <f>PRODUCT(D14,G14,IF(G14=0,(H14+$M$5*2),1),IF(G14=0,(I14+$M$5*2),1),K14,($L$5-M14))</f>
        <v>2.8080000000000007</v>
      </c>
      <c r="Q14" s="230">
        <f>PRODUCT(D14,G14,IF(G14=0,(H14+$M$5*2),1),IF(G14=0,(I14+$M$5*2),1),N14)</f>
        <v>0.2880000000000001</v>
      </c>
      <c r="R14" s="230">
        <f>PRODUCT(D14,E14,H14,I14,J14)</f>
        <v>0.4840000000000001</v>
      </c>
      <c r="S14" s="230">
        <f>PRODUCT(D14,F14,IF(F14=0,(H14+I14)*2,1),J14)</f>
        <v>1.7600000000000002</v>
      </c>
    </row>
    <row r="15" spans="1:19" ht="15.75" customHeight="1">
      <c r="A15" s="242"/>
      <c r="B15" s="243"/>
      <c r="C15" s="181" t="s">
        <v>327</v>
      </c>
      <c r="D15" s="260">
        <f>D14</f>
        <v>2</v>
      </c>
      <c r="E15" s="247"/>
      <c r="F15" s="248"/>
      <c r="G15" s="248"/>
      <c r="H15" s="186">
        <v>0.3</v>
      </c>
      <c r="I15" s="186">
        <v>0.3</v>
      </c>
      <c r="J15" s="186">
        <v>0.15</v>
      </c>
      <c r="K15" s="186">
        <f t="shared" si="0"/>
        <v>1.3</v>
      </c>
      <c r="L15" s="225"/>
      <c r="M15" s="206">
        <v>-1.3</v>
      </c>
      <c r="N15" s="225">
        <f t="shared" si="1"/>
        <v>0.1</v>
      </c>
      <c r="O15" s="225"/>
      <c r="P15" s="230" t="s">
        <v>319</v>
      </c>
      <c r="Q15" s="230" t="s">
        <v>319</v>
      </c>
      <c r="R15" s="230">
        <f>PRODUCT(D15,J15/6,(H14*I14+H15*I15+(H14+H15)*(I14+I15)))</f>
        <v>0.16300000000000003</v>
      </c>
      <c r="S15" s="230" t="s">
        <v>319</v>
      </c>
    </row>
    <row r="16" spans="1:19" ht="15.75" customHeight="1">
      <c r="A16" s="242"/>
      <c r="B16" s="243"/>
      <c r="C16" s="185" t="s">
        <v>321</v>
      </c>
      <c r="D16" s="196"/>
      <c r="E16" s="247"/>
      <c r="F16" s="248"/>
      <c r="G16" s="248"/>
      <c r="H16" s="225"/>
      <c r="I16" s="225"/>
      <c r="J16" s="225"/>
      <c r="K16" s="225"/>
      <c r="L16" s="225"/>
      <c r="M16" s="253"/>
      <c r="N16" s="225"/>
      <c r="O16" s="225"/>
      <c r="P16" s="230"/>
      <c r="Q16" s="230"/>
      <c r="R16" s="230"/>
      <c r="S16" s="230"/>
    </row>
    <row r="17" spans="1:19" ht="15.75" customHeight="1">
      <c r="A17" s="242"/>
      <c r="B17" s="243"/>
      <c r="C17" s="181" t="s">
        <v>331</v>
      </c>
      <c r="D17" s="196">
        <v>2</v>
      </c>
      <c r="E17" s="247"/>
      <c r="F17" s="248"/>
      <c r="G17" s="211">
        <f>1.6*1.05</f>
        <v>1.6800000000000002</v>
      </c>
      <c r="H17" s="186">
        <v>1.5</v>
      </c>
      <c r="I17" s="186">
        <v>1</v>
      </c>
      <c r="J17" s="186">
        <v>0.2</v>
      </c>
      <c r="K17" s="186">
        <f t="shared" si="0"/>
        <v>1.3</v>
      </c>
      <c r="L17" s="225"/>
      <c r="M17" s="206">
        <v>-1.3</v>
      </c>
      <c r="N17" s="225">
        <f t="shared" si="1"/>
        <v>0.1</v>
      </c>
      <c r="O17" s="225"/>
      <c r="P17" s="230">
        <f>PRODUCT(D17,G17,IF(G17=0,(H17+$M$5*2),1),IF(G17=0,(I17+$M$5*2),1),K17,($L$5-M17))</f>
        <v>3.2760000000000002</v>
      </c>
      <c r="Q17" s="230">
        <f>PRODUCT(D17,G17,IF(G17=0,(H17+$M$5*2),1),IF(G17=0,(I17+$M$5*2),1),N17)</f>
        <v>0.3360000000000001</v>
      </c>
      <c r="R17" s="230">
        <f>PRODUCT(D17,E17,H17,I17,J17)</f>
        <v>0.6000000000000001</v>
      </c>
      <c r="S17" s="230">
        <f>PRODUCT(D17,F17,IF(F17=0,(H17+I17)*2,1),J17)</f>
        <v>2</v>
      </c>
    </row>
    <row r="18" spans="1:19" ht="15.75" customHeight="1">
      <c r="A18" s="242"/>
      <c r="B18" s="243"/>
      <c r="C18" s="181" t="s">
        <v>327</v>
      </c>
      <c r="D18" s="260">
        <f>D17</f>
        <v>2</v>
      </c>
      <c r="E18" s="247"/>
      <c r="F18" s="248"/>
      <c r="G18" s="248"/>
      <c r="H18" s="186">
        <v>0.3</v>
      </c>
      <c r="I18" s="186">
        <v>0.25</v>
      </c>
      <c r="J18" s="186">
        <v>0.15</v>
      </c>
      <c r="K18" s="186">
        <f t="shared" si="0"/>
        <v>1.3</v>
      </c>
      <c r="L18" s="225"/>
      <c r="M18" s="206">
        <v>-1.3</v>
      </c>
      <c r="N18" s="225">
        <f t="shared" si="1"/>
        <v>0.1</v>
      </c>
      <c r="O18" s="225"/>
      <c r="P18" s="230" t="s">
        <v>319</v>
      </c>
      <c r="Q18" s="230" t="s">
        <v>319</v>
      </c>
      <c r="R18" s="230">
        <f>PRODUCT(D18,J18/6,(H17*I17+H18*I18+(H17+H18)*(I17+I18)))</f>
        <v>0.19125</v>
      </c>
      <c r="S18" s="230" t="s">
        <v>319</v>
      </c>
    </row>
    <row r="19" spans="1:19" ht="15.75" customHeight="1">
      <c r="A19" s="242"/>
      <c r="B19" s="243"/>
      <c r="C19" s="181" t="s">
        <v>323</v>
      </c>
      <c r="D19" s="260">
        <f>D17</f>
        <v>2</v>
      </c>
      <c r="E19" s="247"/>
      <c r="F19" s="248"/>
      <c r="G19" s="248"/>
      <c r="H19" s="225"/>
      <c r="I19" s="225"/>
      <c r="J19" s="225"/>
      <c r="K19" s="225"/>
      <c r="L19" s="225"/>
      <c r="M19" s="253"/>
      <c r="N19" s="225"/>
      <c r="O19" s="225"/>
      <c r="P19" s="230"/>
      <c r="Q19" s="230"/>
      <c r="R19" s="230"/>
      <c r="S19" s="230">
        <f>PRODUCT(D19,(H17+H18)*J18/2)</f>
        <v>0.27</v>
      </c>
    </row>
    <row r="20" spans="1:19" ht="15.75" customHeight="1">
      <c r="A20" s="242"/>
      <c r="B20" s="243"/>
      <c r="C20" s="181" t="s">
        <v>332</v>
      </c>
      <c r="D20" s="196">
        <v>1</v>
      </c>
      <c r="E20" s="247"/>
      <c r="F20" s="248"/>
      <c r="G20" s="211">
        <f>1.2*0.85</f>
        <v>1.02</v>
      </c>
      <c r="H20" s="186">
        <v>1.1</v>
      </c>
      <c r="I20" s="186">
        <v>0.8</v>
      </c>
      <c r="J20" s="186">
        <v>0.2</v>
      </c>
      <c r="K20" s="186">
        <f t="shared" si="0"/>
        <v>1.3</v>
      </c>
      <c r="L20" s="225"/>
      <c r="M20" s="206">
        <v>-1.3</v>
      </c>
      <c r="N20" s="225">
        <f t="shared" si="1"/>
        <v>0.1</v>
      </c>
      <c r="O20" s="225"/>
      <c r="P20" s="230">
        <f>PRODUCT(D20,G20,IF(G20=0,(H20+$M$5*2),1),IF(G20=0,(I20+$M$5*2),1),K20,($L$5-M20))</f>
        <v>0.9945</v>
      </c>
      <c r="Q20" s="230">
        <f>PRODUCT(D20,G20,IF(G20=0,(H20+$M$5*2),1),IF(G20=0,(I20+$M$5*2),1),N20)</f>
        <v>0.10200000000000001</v>
      </c>
      <c r="R20" s="230">
        <f>PRODUCT(D20,E20,H20,I20,J20)</f>
        <v>0.17600000000000005</v>
      </c>
      <c r="S20" s="230">
        <f>PRODUCT(D20,F20,IF(F20=0,(H20+I20)*2,1),J20)</f>
        <v>0.7600000000000001</v>
      </c>
    </row>
    <row r="21" spans="1:19" ht="15.75" customHeight="1">
      <c r="A21" s="242"/>
      <c r="B21" s="243"/>
      <c r="C21" s="181" t="s">
        <v>327</v>
      </c>
      <c r="D21" s="260">
        <f>D20</f>
        <v>1</v>
      </c>
      <c r="E21" s="247"/>
      <c r="F21" s="248"/>
      <c r="G21" s="248"/>
      <c r="H21" s="186">
        <v>0.3</v>
      </c>
      <c r="I21" s="186">
        <v>0.25</v>
      </c>
      <c r="J21" s="186">
        <v>0.15</v>
      </c>
      <c r="K21" s="186">
        <f t="shared" si="0"/>
        <v>1.3</v>
      </c>
      <c r="L21" s="225"/>
      <c r="M21" s="206">
        <v>-1.3</v>
      </c>
      <c r="N21" s="225">
        <f t="shared" si="1"/>
        <v>0.1</v>
      </c>
      <c r="O21" s="225"/>
      <c r="P21" s="230" t="s">
        <v>319</v>
      </c>
      <c r="Q21" s="230" t="s">
        <v>319</v>
      </c>
      <c r="R21" s="230">
        <f>PRODUCT(D21,J21/6,(H20*I20+H21*I21+(H20+H21)*(I20+I21)))</f>
        <v>0.060625</v>
      </c>
      <c r="S21" s="230" t="s">
        <v>319</v>
      </c>
    </row>
    <row r="22" spans="1:19" ht="15.75" customHeight="1">
      <c r="A22" s="242"/>
      <c r="B22" s="243"/>
      <c r="C22" s="181" t="s">
        <v>323</v>
      </c>
      <c r="D22" s="260">
        <f>D20</f>
        <v>1</v>
      </c>
      <c r="E22" s="247"/>
      <c r="F22" s="248"/>
      <c r="G22" s="248"/>
      <c r="H22" s="225"/>
      <c r="I22" s="225"/>
      <c r="J22" s="225"/>
      <c r="K22" s="225"/>
      <c r="L22" s="225"/>
      <c r="M22" s="253"/>
      <c r="N22" s="225"/>
      <c r="O22" s="225"/>
      <c r="P22" s="230"/>
      <c r="Q22" s="230"/>
      <c r="R22" s="230"/>
      <c r="S22" s="230">
        <f>PRODUCT(D22,(H20+H21)*J21/2)</f>
        <v>0.10500000000000001</v>
      </c>
    </row>
    <row r="23" spans="1:19" ht="15.75" customHeight="1">
      <c r="A23" s="242"/>
      <c r="B23" s="243"/>
      <c r="C23" s="181" t="s">
        <v>333</v>
      </c>
      <c r="D23" s="196">
        <v>1</v>
      </c>
      <c r="E23" s="247"/>
      <c r="F23" s="248"/>
      <c r="G23" s="211">
        <f>1*0.85</f>
        <v>0.85</v>
      </c>
      <c r="H23" s="186">
        <v>0.9</v>
      </c>
      <c r="I23" s="186">
        <v>0.8</v>
      </c>
      <c r="J23" s="186">
        <v>0.2</v>
      </c>
      <c r="K23" s="186">
        <f t="shared" si="0"/>
        <v>1.3</v>
      </c>
      <c r="L23" s="225"/>
      <c r="M23" s="206">
        <v>-1.3</v>
      </c>
      <c r="N23" s="225">
        <f t="shared" si="1"/>
        <v>0.1</v>
      </c>
      <c r="O23" s="225"/>
      <c r="P23" s="230">
        <f>PRODUCT(D23,G23,IF(G23=0,(H23+$M$5*2),1),IF(G23=0,(I23+$M$5*2),1),K23,($L$5-M23))</f>
        <v>0.82875</v>
      </c>
      <c r="Q23" s="230">
        <f>PRODUCT(D23,G23,IF(G23=0,(H23+$M$5*2),1),IF(G23=0,(I23+$M$5*2),1),N23)</f>
        <v>0.085</v>
      </c>
      <c r="R23" s="230">
        <f>PRODUCT(D23,E23,H23,I23,J23)</f>
        <v>0.14400000000000002</v>
      </c>
      <c r="S23" s="230">
        <f>PRODUCT(D23,F23,IF(F23=0,(H23+I23)*2,1),J23)</f>
        <v>0.6800000000000002</v>
      </c>
    </row>
    <row r="24" spans="1:19" ht="15.75" customHeight="1">
      <c r="A24" s="242"/>
      <c r="B24" s="243"/>
      <c r="C24" s="181" t="s">
        <v>327</v>
      </c>
      <c r="D24" s="260">
        <f>D23</f>
        <v>1</v>
      </c>
      <c r="E24" s="247"/>
      <c r="F24" s="248"/>
      <c r="G24" s="248"/>
      <c r="H24" s="186">
        <v>0.3</v>
      </c>
      <c r="I24" s="186">
        <v>0.25</v>
      </c>
      <c r="J24" s="186">
        <v>0.15</v>
      </c>
      <c r="K24" s="186">
        <f t="shared" si="0"/>
        <v>1.3</v>
      </c>
      <c r="L24" s="225"/>
      <c r="M24" s="206">
        <v>-1.3</v>
      </c>
      <c r="N24" s="225">
        <f t="shared" si="1"/>
        <v>0.1</v>
      </c>
      <c r="O24" s="225"/>
      <c r="P24" s="230" t="s">
        <v>319</v>
      </c>
      <c r="Q24" s="230" t="s">
        <v>319</v>
      </c>
      <c r="R24" s="230">
        <f>PRODUCT(D24,J24/6,(H23*I23+H24*I24+(H23+H24)*(I23+I24)))</f>
        <v>0.051375</v>
      </c>
      <c r="S24" s="230" t="s">
        <v>319</v>
      </c>
    </row>
    <row r="25" spans="1:19" ht="15.75" customHeight="1">
      <c r="A25" s="242"/>
      <c r="B25" s="243"/>
      <c r="C25" s="181" t="s">
        <v>334</v>
      </c>
      <c r="D25" s="260">
        <f>D23</f>
        <v>1</v>
      </c>
      <c r="E25" s="247"/>
      <c r="F25" s="248"/>
      <c r="G25" s="248"/>
      <c r="H25" s="225"/>
      <c r="I25" s="225"/>
      <c r="J25" s="225"/>
      <c r="K25" s="225"/>
      <c r="L25" s="225"/>
      <c r="M25" s="253"/>
      <c r="N25" s="225"/>
      <c r="O25" s="225"/>
      <c r="P25" s="230"/>
      <c r="Q25" s="230"/>
      <c r="R25" s="230"/>
      <c r="S25" s="230">
        <f>PRODUCT(D25,(H23+H24)*J24/2)</f>
        <v>0.09</v>
      </c>
    </row>
    <row r="26" spans="1:19" ht="15.75" customHeight="1">
      <c r="A26" s="242"/>
      <c r="B26" s="243"/>
      <c r="C26" s="185" t="s">
        <v>322</v>
      </c>
      <c r="D26" s="196"/>
      <c r="E26" s="247"/>
      <c r="F26" s="248"/>
      <c r="G26" s="248"/>
      <c r="H26" s="225"/>
      <c r="I26" s="225"/>
      <c r="J26" s="225"/>
      <c r="K26" s="225"/>
      <c r="L26" s="225"/>
      <c r="M26" s="253"/>
      <c r="N26" s="225"/>
      <c r="O26" s="225"/>
      <c r="P26" s="230"/>
      <c r="Q26" s="230"/>
      <c r="R26" s="230"/>
      <c r="S26" s="230"/>
    </row>
    <row r="27" spans="1:19" ht="15.75" customHeight="1">
      <c r="A27" s="242"/>
      <c r="B27" s="243"/>
      <c r="C27" s="181" t="s">
        <v>337</v>
      </c>
      <c r="D27" s="196">
        <v>1</v>
      </c>
      <c r="E27" s="247"/>
      <c r="F27" s="248"/>
      <c r="G27" s="211">
        <f>1.15*1.15</f>
        <v>1.3224999999999998</v>
      </c>
      <c r="H27" s="186">
        <v>1.1</v>
      </c>
      <c r="I27" s="186">
        <v>1.1</v>
      </c>
      <c r="J27" s="186">
        <v>0.2</v>
      </c>
      <c r="K27" s="186">
        <f>$K$5</f>
        <v>1.3</v>
      </c>
      <c r="L27" s="225"/>
      <c r="M27" s="206">
        <v>-1.3</v>
      </c>
      <c r="N27" s="225">
        <f>$N$5</f>
        <v>0.1</v>
      </c>
      <c r="O27" s="225"/>
      <c r="P27" s="230">
        <f>PRODUCT(D27,G27,IF(G27=0,(H27+$M$5*2),1),IF(G27=0,(I27+$M$5*2),1),K27,($L$5-M27))</f>
        <v>1.2894374999999998</v>
      </c>
      <c r="Q27" s="230">
        <f>PRODUCT(D27,G27,IF(G27=0,(H27+$M$5*2),1),IF(G27=0,(I27+$M$5*2),1),N27)</f>
        <v>0.13224999999999998</v>
      </c>
      <c r="R27" s="230">
        <f>PRODUCT(D27,E27,H27,I27,J27)</f>
        <v>0.24200000000000005</v>
      </c>
      <c r="S27" s="230">
        <f>PRODUCT(D27,F27,IF(F27=0,(H27+I27)*2,1),J27)</f>
        <v>0.8800000000000001</v>
      </c>
    </row>
    <row r="28" spans="1:19" ht="15.75" customHeight="1">
      <c r="A28" s="242"/>
      <c r="B28" s="243"/>
      <c r="C28" s="181" t="s">
        <v>327</v>
      </c>
      <c r="D28" s="260">
        <f>D27</f>
        <v>1</v>
      </c>
      <c r="E28" s="247"/>
      <c r="F28" s="248"/>
      <c r="G28" s="248"/>
      <c r="H28" s="186">
        <v>0.25</v>
      </c>
      <c r="I28" s="186">
        <v>0.25</v>
      </c>
      <c r="J28" s="186">
        <v>0.15</v>
      </c>
      <c r="K28" s="186">
        <f>$K$5</f>
        <v>1.3</v>
      </c>
      <c r="L28" s="225"/>
      <c r="M28" s="206">
        <v>-1.3</v>
      </c>
      <c r="N28" s="225">
        <f>$N$5</f>
        <v>0.1</v>
      </c>
      <c r="O28" s="225"/>
      <c r="P28" s="230" t="s">
        <v>319</v>
      </c>
      <c r="Q28" s="230" t="s">
        <v>319</v>
      </c>
      <c r="R28" s="230">
        <f>PRODUCT(D28,J28/6,(H27*I27+H28*I28+(H27+H28)*(I27+I28)))</f>
        <v>0.07737500000000001</v>
      </c>
      <c r="S28" s="230" t="s">
        <v>319</v>
      </c>
    </row>
    <row r="29" spans="1:19" ht="15.75" customHeight="1">
      <c r="A29" s="242"/>
      <c r="B29" s="243"/>
      <c r="C29" s="181" t="s">
        <v>335</v>
      </c>
      <c r="D29" s="260">
        <f>D27</f>
        <v>1</v>
      </c>
      <c r="E29" s="247"/>
      <c r="F29" s="248"/>
      <c r="G29" s="248"/>
      <c r="H29" s="225"/>
      <c r="I29" s="225"/>
      <c r="J29" s="225"/>
      <c r="K29" s="225"/>
      <c r="L29" s="225"/>
      <c r="M29" s="253"/>
      <c r="N29" s="225"/>
      <c r="O29" s="225"/>
      <c r="P29" s="230"/>
      <c r="Q29" s="230"/>
      <c r="R29" s="230"/>
      <c r="S29" s="230">
        <f>PRODUCT(D29,(H27+H28)*J28/2)</f>
        <v>0.10125</v>
      </c>
    </row>
    <row r="30" spans="1:19" ht="15.75" customHeight="1">
      <c r="A30" s="242"/>
      <c r="B30" s="243"/>
      <c r="C30" s="181" t="s">
        <v>336</v>
      </c>
      <c r="D30" s="260">
        <f>D27</f>
        <v>1</v>
      </c>
      <c r="E30" s="247"/>
      <c r="F30" s="248"/>
      <c r="G30" s="248"/>
      <c r="H30" s="225"/>
      <c r="I30" s="225"/>
      <c r="J30" s="225"/>
      <c r="K30" s="225"/>
      <c r="L30" s="225"/>
      <c r="M30" s="253"/>
      <c r="N30" s="225"/>
      <c r="O30" s="225"/>
      <c r="P30" s="230"/>
      <c r="Q30" s="230"/>
      <c r="R30" s="230"/>
      <c r="S30" s="230">
        <f>PRODUCT(D30,(I27+I28)*J28/2)</f>
        <v>0.10125</v>
      </c>
    </row>
    <row r="31" spans="1:19" ht="15.75" customHeight="1">
      <c r="A31" s="236" t="s">
        <v>325</v>
      </c>
      <c r="B31" s="237"/>
      <c r="C31" s="238" t="s">
        <v>324</v>
      </c>
      <c r="D31" s="239"/>
      <c r="E31" s="240"/>
      <c r="F31" s="240"/>
      <c r="G31" s="240"/>
      <c r="H31" s="239"/>
      <c r="I31" s="239"/>
      <c r="J31" s="239"/>
      <c r="K31" s="239"/>
      <c r="L31" s="241"/>
      <c r="M31" s="239"/>
      <c r="N31" s="261"/>
      <c r="O31" s="241"/>
      <c r="P31" s="235">
        <f>SUM(P33:P45)</f>
        <v>66.1232</v>
      </c>
      <c r="Q31" s="235">
        <f>SUM(Q33:Q45)</f>
        <v>2.8080000000000003</v>
      </c>
      <c r="R31" s="235">
        <f>SUM(R33:R45)</f>
        <v>10.3755</v>
      </c>
      <c r="S31" s="235">
        <f>SUM(S33:S45)</f>
        <v>22.95</v>
      </c>
    </row>
    <row r="32" spans="1:19" s="189" customFormat="1" ht="15.75" customHeight="1">
      <c r="A32" s="249"/>
      <c r="B32" s="250"/>
      <c r="C32" s="251" t="s">
        <v>338</v>
      </c>
      <c r="D32" s="252"/>
      <c r="E32" s="255"/>
      <c r="F32" s="255"/>
      <c r="G32" s="255"/>
      <c r="H32" s="256"/>
      <c r="I32" s="256"/>
      <c r="J32" s="256"/>
      <c r="K32" s="256"/>
      <c r="L32" s="257"/>
      <c r="M32" s="256"/>
      <c r="N32" s="257"/>
      <c r="O32" s="257"/>
      <c r="P32" s="258"/>
      <c r="Q32" s="258"/>
      <c r="R32" s="258"/>
      <c r="S32" s="258"/>
    </row>
    <row r="33" spans="1:19" ht="15.75" customHeight="1">
      <c r="A33" s="245"/>
      <c r="B33" s="246"/>
      <c r="C33" s="181" t="s">
        <v>318</v>
      </c>
      <c r="D33" s="196">
        <v>2</v>
      </c>
      <c r="E33" s="247"/>
      <c r="F33" s="248"/>
      <c r="G33" s="211">
        <f>3.45*1.6</f>
        <v>5.5200000000000005</v>
      </c>
      <c r="H33" s="186">
        <v>3.4</v>
      </c>
      <c r="I33" s="186">
        <v>1.5</v>
      </c>
      <c r="J33" s="186">
        <v>0.2</v>
      </c>
      <c r="K33" s="186">
        <f>$K$5</f>
        <v>1.3</v>
      </c>
      <c r="L33" s="225"/>
      <c r="M33" s="206">
        <v>-1.6</v>
      </c>
      <c r="N33" s="225">
        <f>$N$5</f>
        <v>0.1</v>
      </c>
      <c r="O33" s="225"/>
      <c r="P33" s="230">
        <f>PRODUCT(D33,G33,IF(G33=0,(H33+$M$5*2),1),IF(G33=0,(I33+$M$5*2),1),K33,($L$5-M33))</f>
        <v>15.069600000000003</v>
      </c>
      <c r="Q33" s="230">
        <f>PRODUCT(D33,G33,IF(G33=0,(H33+$M$5*2),1),IF(G33=0,(I33+$M$5*2),1),N33)</f>
        <v>1.104</v>
      </c>
      <c r="R33" s="230">
        <f>PRODUCT(D33,H33,(I33*J33+(I33+I34)*J34/2+I35*J35))</f>
        <v>3.400000000000001</v>
      </c>
      <c r="S33" s="230">
        <f>(R33/H33*2)+(D33*H33*(J33*2+J35*2))</f>
        <v>6.08</v>
      </c>
    </row>
    <row r="34" spans="1:19" ht="15.75" customHeight="1">
      <c r="A34" s="245"/>
      <c r="B34" s="246"/>
      <c r="C34" s="181" t="s">
        <v>327</v>
      </c>
      <c r="D34" s="260">
        <f>D33</f>
        <v>2</v>
      </c>
      <c r="E34" s="247"/>
      <c r="F34" s="248"/>
      <c r="G34" s="248"/>
      <c r="H34" s="225"/>
      <c r="I34" s="186">
        <v>0.3</v>
      </c>
      <c r="J34" s="186">
        <v>0.2</v>
      </c>
      <c r="K34" s="225"/>
      <c r="L34" s="225"/>
      <c r="M34" s="253"/>
      <c r="N34" s="225"/>
      <c r="O34" s="225"/>
      <c r="P34" s="230"/>
      <c r="Q34" s="230"/>
      <c r="R34" s="230"/>
      <c r="S34" s="230"/>
    </row>
    <row r="35" spans="1:19" ht="15.75" customHeight="1">
      <c r="A35" s="245"/>
      <c r="B35" s="246"/>
      <c r="C35" s="181" t="s">
        <v>326</v>
      </c>
      <c r="D35" s="260">
        <f>D33</f>
        <v>2</v>
      </c>
      <c r="E35" s="247"/>
      <c r="F35" s="248"/>
      <c r="G35" s="248"/>
      <c r="H35" s="225"/>
      <c r="I35" s="186">
        <v>0.2</v>
      </c>
      <c r="J35" s="186">
        <v>0.1</v>
      </c>
      <c r="K35" s="225"/>
      <c r="L35" s="225"/>
      <c r="M35" s="253"/>
      <c r="N35" s="225"/>
      <c r="O35" s="225"/>
      <c r="P35" s="230"/>
      <c r="Q35" s="230"/>
      <c r="R35" s="230"/>
      <c r="S35" s="230"/>
    </row>
    <row r="36" spans="1:19" ht="15.75" customHeight="1">
      <c r="A36" s="245"/>
      <c r="B36" s="246"/>
      <c r="C36" s="181" t="s">
        <v>328</v>
      </c>
      <c r="D36" s="196">
        <v>1</v>
      </c>
      <c r="E36" s="247"/>
      <c r="F36" s="248"/>
      <c r="G36" s="211">
        <f>3.8*2</f>
        <v>7.6</v>
      </c>
      <c r="H36" s="186">
        <v>3.8</v>
      </c>
      <c r="I36" s="186">
        <v>1.8</v>
      </c>
      <c r="J36" s="186">
        <v>0.25</v>
      </c>
      <c r="K36" s="186">
        <f>$K$5</f>
        <v>1.3</v>
      </c>
      <c r="L36" s="225"/>
      <c r="M36" s="206">
        <v>-3.1</v>
      </c>
      <c r="N36" s="225">
        <f>$N$5</f>
        <v>0.1</v>
      </c>
      <c r="O36" s="225"/>
      <c r="P36" s="230">
        <f>PRODUCT(D36,G36,IF(G36=0,(H36+$M$5*2),1),IF(G36=0,(I36+$M$5*2),1),K36,($L$5-M36))</f>
        <v>25.193999999999996</v>
      </c>
      <c r="Q36" s="230">
        <f>PRODUCT(D36,G36,IF(G36=0,(H36+$M$5*2),1),IF(G36=0,(I36+$M$5*2),1),N36)</f>
        <v>0.76</v>
      </c>
      <c r="R36" s="230">
        <f>PRODUCT(D36,H36,(I36*J36+(I36+I37)*J37/2+I38*J38))</f>
        <v>2.9259999999999997</v>
      </c>
      <c r="S36" s="230">
        <f>(R36/H36*2)+(D36*H36*(J36*2+J38*2))</f>
        <v>5.34</v>
      </c>
    </row>
    <row r="37" spans="1:19" ht="15.75" customHeight="1">
      <c r="A37" s="245"/>
      <c r="B37" s="246"/>
      <c r="C37" s="181" t="s">
        <v>327</v>
      </c>
      <c r="D37" s="260">
        <f>D36</f>
        <v>1</v>
      </c>
      <c r="E37" s="247"/>
      <c r="F37" s="248"/>
      <c r="G37" s="248"/>
      <c r="H37" s="225"/>
      <c r="I37" s="186">
        <v>0.4</v>
      </c>
      <c r="J37" s="186">
        <v>0.2</v>
      </c>
      <c r="K37" s="225"/>
      <c r="L37" s="225"/>
      <c r="M37" s="253"/>
      <c r="N37" s="225"/>
      <c r="O37" s="225"/>
      <c r="P37" s="230"/>
      <c r="Q37" s="230"/>
      <c r="R37" s="230"/>
      <c r="S37" s="230"/>
    </row>
    <row r="38" spans="1:19" ht="15.75" customHeight="1">
      <c r="A38" s="245"/>
      <c r="B38" s="246"/>
      <c r="C38" s="181" t="s">
        <v>326</v>
      </c>
      <c r="D38" s="260">
        <f>D36</f>
        <v>1</v>
      </c>
      <c r="E38" s="247"/>
      <c r="F38" s="248"/>
      <c r="G38" s="248"/>
      <c r="H38" s="225"/>
      <c r="I38" s="186">
        <v>0.4</v>
      </c>
      <c r="J38" s="186">
        <v>0.25</v>
      </c>
      <c r="K38" s="225"/>
      <c r="L38" s="225"/>
      <c r="M38" s="253"/>
      <c r="N38" s="225"/>
      <c r="O38" s="225"/>
      <c r="P38" s="230"/>
      <c r="Q38" s="230"/>
      <c r="R38" s="230"/>
      <c r="S38" s="230"/>
    </row>
    <row r="39" spans="1:19" s="189" customFormat="1" ht="15.75" customHeight="1">
      <c r="A39" s="200"/>
      <c r="B39" s="201"/>
      <c r="C39" s="202" t="s">
        <v>339</v>
      </c>
      <c r="D39" s="252"/>
      <c r="E39" s="255"/>
      <c r="F39" s="255"/>
      <c r="G39" s="255"/>
      <c r="H39" s="256"/>
      <c r="I39" s="256"/>
      <c r="J39" s="256"/>
      <c r="K39" s="256"/>
      <c r="L39" s="257"/>
      <c r="M39" s="256"/>
      <c r="N39" s="257"/>
      <c r="O39" s="257"/>
      <c r="P39" s="258"/>
      <c r="Q39" s="258"/>
      <c r="R39" s="258"/>
      <c r="S39" s="258"/>
    </row>
    <row r="40" spans="1:19" ht="15.75" customHeight="1">
      <c r="A40" s="265"/>
      <c r="B40" s="266"/>
      <c r="C40" s="267" t="s">
        <v>329</v>
      </c>
      <c r="D40" s="196">
        <v>1</v>
      </c>
      <c r="E40" s="247"/>
      <c r="F40" s="248"/>
      <c r="G40" s="211">
        <f>4.9*1.5</f>
        <v>7.3500000000000005</v>
      </c>
      <c r="H40" s="186">
        <v>4.9</v>
      </c>
      <c r="I40" s="186">
        <v>1.4</v>
      </c>
      <c r="J40" s="186">
        <v>0.25</v>
      </c>
      <c r="K40" s="186">
        <f>$K$5</f>
        <v>1.3</v>
      </c>
      <c r="L40" s="225"/>
      <c r="M40" s="206">
        <v>-3.1</v>
      </c>
      <c r="N40" s="225">
        <f>$N$5</f>
        <v>0.1</v>
      </c>
      <c r="O40" s="225"/>
      <c r="P40" s="230">
        <f>PRODUCT(D40,G40,IF(G40=0,(H40+$M$5*2),1),IF(G40=0,(I40+$M$5*2),1),K40,($L$5-M40))</f>
        <v>24.365250000000003</v>
      </c>
      <c r="Q40" s="230">
        <f>PRODUCT(D40,G40,IF(G40=0,(H40+$M$5*2),1),IF(G40=0,(I40+$M$5*2),1),N40)</f>
        <v>0.7350000000000001</v>
      </c>
      <c r="R40" s="230">
        <f>PRODUCT(D40,H40,(I40*J40+(I40+I41)*J41/2+I42*J42))</f>
        <v>3.087</v>
      </c>
      <c r="S40" s="230">
        <f>(R40/H40*2)+(D40*H40*(J40*2+J41+J42*2))</f>
        <v>7.14</v>
      </c>
    </row>
    <row r="41" spans="1:19" ht="15.75" customHeight="1">
      <c r="A41" s="242"/>
      <c r="B41" s="243"/>
      <c r="C41" s="181" t="s">
        <v>327</v>
      </c>
      <c r="D41" s="260">
        <f>D40</f>
        <v>1</v>
      </c>
      <c r="E41" s="247"/>
      <c r="F41" s="248"/>
      <c r="G41" s="248"/>
      <c r="H41" s="225"/>
      <c r="I41" s="186">
        <v>0.4</v>
      </c>
      <c r="J41" s="186">
        <v>0.2</v>
      </c>
      <c r="K41" s="225"/>
      <c r="L41" s="225"/>
      <c r="M41" s="253"/>
      <c r="N41" s="225"/>
      <c r="O41" s="225"/>
      <c r="P41" s="230"/>
      <c r="Q41" s="230"/>
      <c r="R41" s="230"/>
      <c r="S41" s="230"/>
    </row>
    <row r="42" spans="1:19" ht="15.75" customHeight="1">
      <c r="A42" s="242"/>
      <c r="B42" s="243"/>
      <c r="C42" s="181" t="s">
        <v>326</v>
      </c>
      <c r="D42" s="260">
        <f>D40</f>
        <v>1</v>
      </c>
      <c r="E42" s="247"/>
      <c r="F42" s="248"/>
      <c r="G42" s="248"/>
      <c r="H42" s="225"/>
      <c r="I42" s="186">
        <v>0.4</v>
      </c>
      <c r="J42" s="186">
        <v>0.25</v>
      </c>
      <c r="K42" s="225"/>
      <c r="L42" s="225"/>
      <c r="M42" s="253"/>
      <c r="N42" s="225"/>
      <c r="O42" s="225"/>
      <c r="P42" s="230"/>
      <c r="Q42" s="230"/>
      <c r="R42" s="230"/>
      <c r="S42" s="230"/>
    </row>
    <row r="43" spans="1:19" ht="15.75" customHeight="1">
      <c r="A43" s="265"/>
      <c r="B43" s="266"/>
      <c r="C43" s="267" t="s">
        <v>330</v>
      </c>
      <c r="D43" s="196">
        <v>2</v>
      </c>
      <c r="E43" s="247"/>
      <c r="F43" s="248"/>
      <c r="G43" s="211">
        <f>1.1*0.95</f>
        <v>1.045</v>
      </c>
      <c r="H43" s="186">
        <v>1.1</v>
      </c>
      <c r="I43" s="186">
        <v>0.85</v>
      </c>
      <c r="J43" s="186">
        <v>0.25</v>
      </c>
      <c r="K43" s="186">
        <f>$K$5</f>
        <v>1.3</v>
      </c>
      <c r="L43" s="225"/>
      <c r="M43" s="206">
        <v>-1.1</v>
      </c>
      <c r="N43" s="225">
        <f>$N$5</f>
        <v>0.1</v>
      </c>
      <c r="O43" s="225"/>
      <c r="P43" s="230">
        <f>PRODUCT(D43,G43,IF(G43=0,(H43+$M$5*2),1),IF(G43=0,(I43+$M$5*2),1),K43,($L$5-M43))</f>
        <v>1.49435</v>
      </c>
      <c r="Q43" s="230">
        <f>PRODUCT(D43,G43,IF(G43=0,(H43+$M$5*2),1),IF(G43=0,(I43+$M$5*2),1),N43)</f>
        <v>0.209</v>
      </c>
      <c r="R43" s="230">
        <f>PRODUCT(D43,H43,(I43*J43+(I43+I44)*J44/2+I45*J45))</f>
        <v>0.9625000000000001</v>
      </c>
      <c r="S43" s="230">
        <f>(R43/H43*2)+(D43*H43*(J43*2+J44+J45*2))</f>
        <v>4.390000000000001</v>
      </c>
    </row>
    <row r="44" spans="1:19" ht="15.75" customHeight="1">
      <c r="A44" s="242"/>
      <c r="B44" s="243"/>
      <c r="C44" s="181" t="s">
        <v>327</v>
      </c>
      <c r="D44" s="260">
        <f>D43</f>
        <v>2</v>
      </c>
      <c r="E44" s="247"/>
      <c r="F44" s="248"/>
      <c r="G44" s="248"/>
      <c r="H44" s="225"/>
      <c r="I44" s="186">
        <v>0.4</v>
      </c>
      <c r="J44" s="186">
        <v>0.2</v>
      </c>
      <c r="K44" s="225"/>
      <c r="L44" s="225"/>
      <c r="M44" s="253"/>
      <c r="N44" s="225"/>
      <c r="O44" s="225"/>
      <c r="P44" s="230"/>
      <c r="Q44" s="230"/>
      <c r="R44" s="230"/>
      <c r="S44" s="230"/>
    </row>
    <row r="45" spans="1:19" ht="15.75" customHeight="1">
      <c r="A45" s="242"/>
      <c r="B45" s="243"/>
      <c r="C45" s="181" t="s">
        <v>326</v>
      </c>
      <c r="D45" s="260">
        <f>D43</f>
        <v>2</v>
      </c>
      <c r="E45" s="247"/>
      <c r="F45" s="248"/>
      <c r="G45" s="248"/>
      <c r="H45" s="225"/>
      <c r="I45" s="186">
        <v>0.4</v>
      </c>
      <c r="J45" s="186">
        <v>0.25</v>
      </c>
      <c r="K45" s="225"/>
      <c r="L45" s="225"/>
      <c r="M45" s="253"/>
      <c r="N45" s="225"/>
      <c r="O45" s="225"/>
      <c r="P45" s="230"/>
      <c r="Q45" s="230"/>
      <c r="R45" s="230"/>
      <c r="S45" s="230"/>
    </row>
    <row r="46" spans="1:256" s="183" customFormat="1" ht="15">
      <c r="A46" s="221">
        <v>3</v>
      </c>
      <c r="B46" s="221"/>
      <c r="C46" s="221" t="s">
        <v>288</v>
      </c>
      <c r="D46" s="232"/>
      <c r="E46" s="233"/>
      <c r="F46" s="234"/>
      <c r="G46" s="234"/>
      <c r="H46" s="232"/>
      <c r="I46" s="232"/>
      <c r="J46" s="232"/>
      <c r="K46" s="232"/>
      <c r="L46" s="232"/>
      <c r="M46" s="232"/>
      <c r="N46" s="262"/>
      <c r="O46" s="232"/>
      <c r="P46" s="235">
        <f>SUM(P47:P54)</f>
        <v>26.083200000000005</v>
      </c>
      <c r="Q46" s="235">
        <f>SUM(Q47:Q54)</f>
        <v>1.8120000000000003</v>
      </c>
      <c r="R46" s="235">
        <f>SUM(R47:R54)</f>
        <v>11.584399999999999</v>
      </c>
      <c r="S46" s="235">
        <f>SUM(S47:S54)</f>
        <v>35.21099999999999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7"/>
      <c r="HA46" s="177"/>
      <c r="HB46" s="177"/>
      <c r="HC46" s="177"/>
      <c r="HD46" s="177"/>
      <c r="HE46" s="177"/>
      <c r="HF46" s="177"/>
      <c r="HG46" s="177"/>
      <c r="HH46" s="177"/>
      <c r="HI46" s="177"/>
      <c r="HJ46" s="177"/>
      <c r="HK46" s="177"/>
      <c r="HL46" s="177"/>
      <c r="HM46" s="177"/>
      <c r="HN46" s="177"/>
      <c r="HO46" s="177"/>
      <c r="HP46" s="177"/>
      <c r="HQ46" s="177"/>
      <c r="HR46" s="177"/>
      <c r="HS46" s="177"/>
      <c r="HT46" s="177"/>
      <c r="HU46" s="177"/>
      <c r="HV46" s="177"/>
      <c r="HW46" s="177"/>
      <c r="HX46" s="177"/>
      <c r="HY46" s="177"/>
      <c r="HZ46" s="177"/>
      <c r="IA46" s="177"/>
      <c r="IB46" s="177"/>
      <c r="IC46" s="177"/>
      <c r="ID46" s="177"/>
      <c r="IE46" s="177"/>
      <c r="IF46" s="177"/>
      <c r="IG46" s="177"/>
      <c r="IH46" s="177"/>
      <c r="II46" s="177"/>
      <c r="IJ46" s="177"/>
      <c r="IK46" s="177"/>
      <c r="IL46" s="177"/>
      <c r="IM46" s="177"/>
      <c r="IN46" s="177"/>
      <c r="IO46" s="177"/>
      <c r="IP46" s="177"/>
      <c r="IQ46" s="177"/>
      <c r="IR46" s="177"/>
      <c r="IS46" s="177"/>
      <c r="IT46" s="177"/>
      <c r="IU46" s="177"/>
      <c r="IV46" s="177"/>
    </row>
    <row r="47" spans="1:19" ht="15">
      <c r="A47" s="180"/>
      <c r="B47" s="180"/>
      <c r="C47" s="181" t="s">
        <v>299</v>
      </c>
      <c r="D47" s="196">
        <v>4</v>
      </c>
      <c r="E47" s="208">
        <f>4.942/4</f>
        <v>1.2355</v>
      </c>
      <c r="F47" s="211">
        <f>8.715/2</f>
        <v>4.3575</v>
      </c>
      <c r="G47" s="211">
        <f>5.82/4</f>
        <v>1.455</v>
      </c>
      <c r="H47" s="212"/>
      <c r="I47" s="212"/>
      <c r="J47" s="186">
        <v>0.7</v>
      </c>
      <c r="K47" s="186">
        <f>$K$5</f>
        <v>1.3</v>
      </c>
      <c r="L47" s="225"/>
      <c r="M47" s="206">
        <v>-1.6</v>
      </c>
      <c r="N47" s="225">
        <f>$N$5</f>
        <v>0.1</v>
      </c>
      <c r="O47" s="225"/>
      <c r="P47" s="230">
        <f>PRODUCT(D47,G47,IF(G47=0,(H47+$M$5*2),1),IF(G47=0,(I47+$M$5*2),1),K47,($L$5-M47))</f>
        <v>7.944300000000001</v>
      </c>
      <c r="Q47" s="230">
        <f>PRODUCT(D47,G47,IF(G47=0,(H47+$M$5*2),1),IF(G47=0,(I47+$M$5*2),1),N47)</f>
        <v>0.5820000000000001</v>
      </c>
      <c r="R47" s="230">
        <f>PRODUCT(D47,E47,H47,I47,J47)</f>
        <v>3.4594</v>
      </c>
      <c r="S47" s="230">
        <f>PRODUCT(D47,F47,IF(F47=0,(H47+I47)*2,1),J47)</f>
        <v>12.200999999999999</v>
      </c>
    </row>
    <row r="48" spans="1:19" ht="15">
      <c r="A48" s="180"/>
      <c r="B48" s="180"/>
      <c r="C48" s="181" t="s">
        <v>290</v>
      </c>
      <c r="D48" s="196">
        <v>4</v>
      </c>
      <c r="E48" s="208"/>
      <c r="F48" s="211"/>
      <c r="G48" s="211"/>
      <c r="H48" s="186">
        <v>1.3</v>
      </c>
      <c r="I48" s="186">
        <v>1.3</v>
      </c>
      <c r="J48" s="186">
        <v>0.7</v>
      </c>
      <c r="K48" s="186">
        <f>$K$5</f>
        <v>1.3</v>
      </c>
      <c r="L48" s="225"/>
      <c r="M48" s="206">
        <v>-1.6</v>
      </c>
      <c r="N48" s="225">
        <f>$N$5</f>
        <v>0.1</v>
      </c>
      <c r="O48" s="225"/>
      <c r="P48" s="230">
        <f>PRODUCT(D48,G48,IF(G48=0,(H48+$M$5*2),1),IF(G48=0,(I48+$M$5*2),1),K48,($L$5-M48))</f>
        <v>10.701600000000003</v>
      </c>
      <c r="Q48" s="230">
        <f>PRODUCT(D48,G48,IF(G48=0,(H48+$M$5*2),1),IF(G48=0,(I48+$M$5*2),1),N48)</f>
        <v>0.7840000000000003</v>
      </c>
      <c r="R48" s="230">
        <f>PRODUCT(D48,E48,H48,I48,J48)</f>
        <v>4.732</v>
      </c>
      <c r="S48" s="230">
        <f>PRODUCT(D48,F48,IF(F48=0,(H48+I48)*2,1),J48)</f>
        <v>14.559999999999999</v>
      </c>
    </row>
    <row r="49" spans="1:19" ht="15">
      <c r="A49" s="190"/>
      <c r="B49" s="190"/>
      <c r="C49" s="191" t="s">
        <v>291</v>
      </c>
      <c r="D49" s="196">
        <v>1</v>
      </c>
      <c r="E49" s="208"/>
      <c r="F49" s="211"/>
      <c r="G49" s="211"/>
      <c r="H49" s="186">
        <v>2.1</v>
      </c>
      <c r="I49" s="186">
        <v>1.3</v>
      </c>
      <c r="J49" s="186">
        <v>0.7</v>
      </c>
      <c r="K49" s="186">
        <f>$K$5</f>
        <v>1.3</v>
      </c>
      <c r="L49" s="225"/>
      <c r="M49" s="206">
        <v>-1.6</v>
      </c>
      <c r="N49" s="225">
        <f>$N$5</f>
        <v>0.1</v>
      </c>
      <c r="O49" s="225"/>
      <c r="P49" s="230">
        <f>PRODUCT(D49,G49,IF(G49=0,(H49+$M$5*2),1),IF(G49=0,(I49+$M$5*2),1),K49,($L$5-M49))</f>
        <v>4.204200000000001</v>
      </c>
      <c r="Q49" s="230">
        <f>PRODUCT(D49,G49,IF(G49=0,(H49+$M$5*2),1),IF(G49=0,(I49+$M$5*2),1),N49)</f>
        <v>0.30800000000000005</v>
      </c>
      <c r="R49" s="230">
        <f>PRODUCT(D49,E49,H49,I49,J49)</f>
        <v>1.9110000000000003</v>
      </c>
      <c r="S49" s="230">
        <f>PRODUCT(D49,F49,IF(F49=0,(H49+I49)*2,1),J49)</f>
        <v>4.76</v>
      </c>
    </row>
    <row r="50" spans="1:19" ht="15">
      <c r="A50" s="264"/>
      <c r="B50" s="264"/>
      <c r="C50" s="244" t="s">
        <v>292</v>
      </c>
      <c r="D50" s="196">
        <v>3</v>
      </c>
      <c r="E50" s="208"/>
      <c r="F50" s="211"/>
      <c r="G50" s="211"/>
      <c r="H50" s="186">
        <v>1.3</v>
      </c>
      <c r="I50" s="186">
        <v>0.6</v>
      </c>
      <c r="J50" s="186">
        <v>0.7</v>
      </c>
      <c r="K50" s="186">
        <f>$K$5</f>
        <v>1.3</v>
      </c>
      <c r="L50" s="225"/>
      <c r="M50" s="206">
        <v>-1.6</v>
      </c>
      <c r="N50" s="225">
        <f>$N$5</f>
        <v>0.1</v>
      </c>
      <c r="O50" s="225"/>
      <c r="P50" s="230">
        <f>PRODUCT(D50,G50,IF(G50=0,(H50+$M$5*2),1),IF(G50=0,(I50+$M$5*2),1),K50,($L$5-M50))</f>
        <v>4.0131000000000006</v>
      </c>
      <c r="Q50" s="230">
        <f>PRODUCT(D50,G50,IF(G50=0,(H50+$M$5*2),1),IF(G50=0,(I50+$M$5*2),1),N50)</f>
        <v>0.294</v>
      </c>
      <c r="R50" s="230">
        <f>PRODUCT(D50,E50,H50,I50,J50)</f>
        <v>1.6380000000000001</v>
      </c>
      <c r="S50" s="230">
        <f>PRODUCT(D50,F50,IF(F50=0,(H50+I50)*2,1),J50)</f>
        <v>7.979999999999999</v>
      </c>
    </row>
    <row r="51" spans="1:19" ht="15">
      <c r="A51" s="180"/>
      <c r="B51" s="180"/>
      <c r="C51" s="213" t="s">
        <v>296</v>
      </c>
      <c r="D51" s="214">
        <v>-39</v>
      </c>
      <c r="E51" s="219"/>
      <c r="F51" s="220"/>
      <c r="G51" s="220"/>
      <c r="H51" s="215">
        <v>0.2</v>
      </c>
      <c r="I51" s="215">
        <v>0.2</v>
      </c>
      <c r="J51" s="215">
        <v>0.5</v>
      </c>
      <c r="K51" s="217"/>
      <c r="L51" s="217"/>
      <c r="M51" s="218"/>
      <c r="N51" s="217"/>
      <c r="O51" s="217"/>
      <c r="P51" s="231">
        <f>PRODUCT(D51:J51)</f>
        <v>-0.7800000000000001</v>
      </c>
      <c r="Q51" s="231"/>
      <c r="R51" s="231"/>
      <c r="S51" s="231"/>
    </row>
    <row r="52" spans="1:20" ht="15">
      <c r="A52" s="180"/>
      <c r="B52" s="180"/>
      <c r="C52" s="213" t="s">
        <v>297</v>
      </c>
      <c r="D52" s="214">
        <v>-39</v>
      </c>
      <c r="E52" s="219"/>
      <c r="F52" s="220"/>
      <c r="G52" s="220"/>
      <c r="H52" s="215">
        <v>0.2</v>
      </c>
      <c r="I52" s="215">
        <v>0.2</v>
      </c>
      <c r="J52" s="215">
        <v>0.1</v>
      </c>
      <c r="K52" s="217"/>
      <c r="L52" s="217"/>
      <c r="M52" s="218"/>
      <c r="N52" s="217"/>
      <c r="O52" s="217"/>
      <c r="P52" s="231"/>
      <c r="Q52" s="231">
        <f>PRODUCT(D52:J52)</f>
        <v>-0.15600000000000003</v>
      </c>
      <c r="R52" s="231"/>
      <c r="S52" s="231"/>
      <c r="T52" s="179"/>
    </row>
    <row r="53" spans="1:20" ht="14.25" customHeight="1">
      <c r="A53" s="180"/>
      <c r="B53" s="180"/>
      <c r="C53" s="216" t="s">
        <v>298</v>
      </c>
      <c r="D53" s="214">
        <v>-39</v>
      </c>
      <c r="E53" s="219"/>
      <c r="F53" s="220"/>
      <c r="G53" s="220"/>
      <c r="H53" s="215">
        <v>0.2</v>
      </c>
      <c r="I53" s="215">
        <v>0.2</v>
      </c>
      <c r="J53" s="215">
        <v>0.1</v>
      </c>
      <c r="K53" s="217"/>
      <c r="L53" s="217"/>
      <c r="M53" s="218"/>
      <c r="N53" s="217"/>
      <c r="O53" s="217"/>
      <c r="P53" s="231"/>
      <c r="Q53" s="231"/>
      <c r="R53" s="231">
        <f>PRODUCT(D53:J53)</f>
        <v>-0.15600000000000003</v>
      </c>
      <c r="S53" s="231"/>
      <c r="T53" s="179"/>
    </row>
    <row r="54" spans="1:20" ht="14.25" customHeight="1">
      <c r="A54" s="180"/>
      <c r="B54" s="180"/>
      <c r="C54" s="216" t="s">
        <v>300</v>
      </c>
      <c r="D54" s="214">
        <v>-39</v>
      </c>
      <c r="E54" s="219"/>
      <c r="F54" s="220"/>
      <c r="G54" s="220"/>
      <c r="H54" s="217"/>
      <c r="I54" s="215">
        <v>0.22</v>
      </c>
      <c r="J54" s="215">
        <v>0.5</v>
      </c>
      <c r="K54" s="217"/>
      <c r="L54" s="217"/>
      <c r="M54" s="218"/>
      <c r="N54" s="217"/>
      <c r="O54" s="217"/>
      <c r="P54" s="231"/>
      <c r="Q54" s="231"/>
      <c r="R54" s="231"/>
      <c r="S54" s="231">
        <f>PRODUCT(D54:K54)</f>
        <v>-4.29</v>
      </c>
      <c r="T54" s="179"/>
    </row>
    <row r="55" spans="1:19" s="179" customFormat="1" ht="14.25">
      <c r="A55" s="221">
        <v>2</v>
      </c>
      <c r="B55" s="221"/>
      <c r="C55" s="221" t="s">
        <v>302</v>
      </c>
      <c r="D55" s="221"/>
      <c r="E55" s="222"/>
      <c r="F55" s="223"/>
      <c r="G55" s="223"/>
      <c r="H55" s="224"/>
      <c r="I55" s="224"/>
      <c r="J55" s="224"/>
      <c r="K55" s="224"/>
      <c r="L55" s="224"/>
      <c r="M55" s="224"/>
      <c r="N55" s="263"/>
      <c r="O55" s="224"/>
      <c r="P55" s="229">
        <f>SUM(P56:P68)</f>
        <v>18.369519999999994</v>
      </c>
      <c r="Q55" s="229">
        <f>SUM(Q56:Q68)</f>
        <v>1.96941</v>
      </c>
      <c r="R55" s="229">
        <f>SUM(R56:R68)</f>
        <v>6.402729999999998</v>
      </c>
      <c r="S55" s="229">
        <f>SUM(S56:S68)</f>
        <v>59.102000000000004</v>
      </c>
    </row>
    <row r="56" spans="1:19" ht="15">
      <c r="A56" s="180"/>
      <c r="B56" s="180"/>
      <c r="C56" s="181" t="s">
        <v>303</v>
      </c>
      <c r="D56" s="196">
        <v>1</v>
      </c>
      <c r="E56" s="226"/>
      <c r="F56" s="227"/>
      <c r="G56" s="227"/>
      <c r="H56" s="186">
        <v>9.26</v>
      </c>
      <c r="I56" s="186">
        <v>0.22</v>
      </c>
      <c r="J56" s="186">
        <v>0.5</v>
      </c>
      <c r="K56" s="186">
        <f aca="true" t="shared" si="2" ref="K56:K68">$K$5</f>
        <v>1.3</v>
      </c>
      <c r="L56" s="225"/>
      <c r="M56" s="206">
        <v>-1.4</v>
      </c>
      <c r="N56" s="225">
        <f aca="true" t="shared" si="3" ref="N56:N68">$N$5</f>
        <v>0.1</v>
      </c>
      <c r="O56" s="186">
        <v>7</v>
      </c>
      <c r="P56" s="228">
        <f aca="true" t="shared" si="4" ref="P56:P68">PRODUCT(D56,(H56-O56*$M$5),(I56+$M$5*2),$L$5-M56,K56)</f>
        <v>3.1505759999999996</v>
      </c>
      <c r="Q56" s="228">
        <f aca="true" t="shared" si="5" ref="Q56:Q68">PRODUCT(D56,H56,(I56+$M$5*2),N56)</f>
        <v>0.29632000000000003</v>
      </c>
      <c r="R56" s="228">
        <f aca="true" t="shared" si="6" ref="R56:R68">PRODUCT(D56,H56,I56,J56)</f>
        <v>1.0186</v>
      </c>
      <c r="S56" s="228">
        <f aca="true" t="shared" si="7" ref="S56:S68">PRODUCT(D56,H56,(J56*2))</f>
        <v>9.26</v>
      </c>
    </row>
    <row r="57" spans="1:19" ht="15">
      <c r="A57" s="180"/>
      <c r="B57" s="180"/>
      <c r="C57" s="181" t="s">
        <v>304</v>
      </c>
      <c r="D57" s="196">
        <v>1</v>
      </c>
      <c r="E57" s="226"/>
      <c r="F57" s="227"/>
      <c r="G57" s="227"/>
      <c r="H57" s="186">
        <v>8.24</v>
      </c>
      <c r="I57" s="186">
        <v>0.22</v>
      </c>
      <c r="J57" s="186">
        <v>0.5</v>
      </c>
      <c r="K57" s="186">
        <f t="shared" si="2"/>
        <v>1.3</v>
      </c>
      <c r="L57" s="225"/>
      <c r="M57" s="206">
        <v>-1.4</v>
      </c>
      <c r="N57" s="225">
        <f t="shared" si="3"/>
        <v>0.1</v>
      </c>
      <c r="O57" s="186">
        <v>8</v>
      </c>
      <c r="P57" s="228">
        <f t="shared" si="4"/>
        <v>2.7722239999999996</v>
      </c>
      <c r="Q57" s="228">
        <f t="shared" si="5"/>
        <v>0.26368</v>
      </c>
      <c r="R57" s="228">
        <f t="shared" si="6"/>
        <v>0.9064</v>
      </c>
      <c r="S57" s="228">
        <f t="shared" si="7"/>
        <v>8.24</v>
      </c>
    </row>
    <row r="58" spans="1:19" ht="15">
      <c r="A58" s="180"/>
      <c r="B58" s="180"/>
      <c r="C58" s="181" t="s">
        <v>305</v>
      </c>
      <c r="D58" s="196">
        <v>1</v>
      </c>
      <c r="E58" s="226"/>
      <c r="F58" s="227"/>
      <c r="G58" s="227"/>
      <c r="H58" s="186">
        <v>8.24</v>
      </c>
      <c r="I58" s="186">
        <v>0.22</v>
      </c>
      <c r="J58" s="186">
        <v>0.5</v>
      </c>
      <c r="K58" s="186">
        <f t="shared" si="2"/>
        <v>1.3</v>
      </c>
      <c r="L58" s="225"/>
      <c r="M58" s="206">
        <v>-1.4</v>
      </c>
      <c r="N58" s="225">
        <f t="shared" si="3"/>
        <v>0.1</v>
      </c>
      <c r="O58" s="186">
        <v>8</v>
      </c>
      <c r="P58" s="228">
        <f t="shared" si="4"/>
        <v>2.7722239999999996</v>
      </c>
      <c r="Q58" s="228">
        <f t="shared" si="5"/>
        <v>0.26368</v>
      </c>
      <c r="R58" s="228">
        <f t="shared" si="6"/>
        <v>0.9064</v>
      </c>
      <c r="S58" s="228">
        <f t="shared" si="7"/>
        <v>8.24</v>
      </c>
    </row>
    <row r="59" spans="1:19" ht="15">
      <c r="A59" s="180"/>
      <c r="B59" s="180"/>
      <c r="C59" s="181" t="s">
        <v>306</v>
      </c>
      <c r="D59" s="196">
        <v>1</v>
      </c>
      <c r="E59" s="226"/>
      <c r="F59" s="227"/>
      <c r="G59" s="227"/>
      <c r="H59" s="186">
        <v>7.5</v>
      </c>
      <c r="I59" s="186">
        <v>0.22</v>
      </c>
      <c r="J59" s="186">
        <v>0.5</v>
      </c>
      <c r="K59" s="186">
        <f t="shared" si="2"/>
        <v>1.3</v>
      </c>
      <c r="L59" s="225"/>
      <c r="M59" s="206">
        <v>-1.4</v>
      </c>
      <c r="N59" s="225">
        <f t="shared" si="3"/>
        <v>0.1</v>
      </c>
      <c r="O59" s="186">
        <v>0</v>
      </c>
      <c r="P59" s="228">
        <f t="shared" si="4"/>
        <v>2.6519999999999997</v>
      </c>
      <c r="Q59" s="228">
        <f t="shared" si="5"/>
        <v>0.24</v>
      </c>
      <c r="R59" s="228">
        <f t="shared" si="6"/>
        <v>0.825</v>
      </c>
      <c r="S59" s="228">
        <f t="shared" si="7"/>
        <v>7.5</v>
      </c>
    </row>
    <row r="60" spans="1:19" ht="15">
      <c r="A60" s="180"/>
      <c r="B60" s="180"/>
      <c r="C60" s="181" t="s">
        <v>307</v>
      </c>
      <c r="D60" s="196">
        <v>1</v>
      </c>
      <c r="E60" s="226"/>
      <c r="F60" s="227"/>
      <c r="G60" s="227"/>
      <c r="H60" s="186">
        <v>2.85</v>
      </c>
      <c r="I60" s="186">
        <v>0.22</v>
      </c>
      <c r="J60" s="186">
        <v>0.5</v>
      </c>
      <c r="K60" s="186">
        <f t="shared" si="2"/>
        <v>1.3</v>
      </c>
      <c r="L60" s="225"/>
      <c r="M60" s="206">
        <v>-1.4</v>
      </c>
      <c r="N60" s="225">
        <f t="shared" si="3"/>
        <v>0.1</v>
      </c>
      <c r="O60" s="186">
        <v>2</v>
      </c>
      <c r="P60" s="228">
        <f t="shared" si="4"/>
        <v>0.9723999999999999</v>
      </c>
      <c r="Q60" s="228">
        <f t="shared" si="5"/>
        <v>0.0912</v>
      </c>
      <c r="R60" s="228">
        <f t="shared" si="6"/>
        <v>0.3135</v>
      </c>
      <c r="S60" s="228">
        <f t="shared" si="7"/>
        <v>2.85</v>
      </c>
    </row>
    <row r="61" spans="1:19" ht="15">
      <c r="A61" s="180"/>
      <c r="B61" s="180"/>
      <c r="C61" s="181" t="s">
        <v>308</v>
      </c>
      <c r="D61" s="196">
        <v>1</v>
      </c>
      <c r="E61" s="226"/>
      <c r="F61" s="227"/>
      <c r="G61" s="227"/>
      <c r="H61" s="186">
        <v>1.46</v>
      </c>
      <c r="I61" s="186">
        <v>0.22</v>
      </c>
      <c r="J61" s="186">
        <v>0.5</v>
      </c>
      <c r="K61" s="186">
        <f t="shared" si="2"/>
        <v>1.3</v>
      </c>
      <c r="L61" s="225"/>
      <c r="M61" s="206">
        <v>-1.4</v>
      </c>
      <c r="N61" s="225">
        <f t="shared" si="3"/>
        <v>0.1</v>
      </c>
      <c r="O61" s="186">
        <v>2</v>
      </c>
      <c r="P61" s="228">
        <f t="shared" si="4"/>
        <v>0.4808959999999999</v>
      </c>
      <c r="Q61" s="228">
        <f t="shared" si="5"/>
        <v>0.046720000000000005</v>
      </c>
      <c r="R61" s="228">
        <f t="shared" si="6"/>
        <v>0.1606</v>
      </c>
      <c r="S61" s="228">
        <f t="shared" si="7"/>
        <v>1.46</v>
      </c>
    </row>
    <row r="62" spans="1:19" ht="15">
      <c r="A62" s="180"/>
      <c r="B62" s="180"/>
      <c r="C62" s="181" t="s">
        <v>310</v>
      </c>
      <c r="D62" s="196">
        <v>1</v>
      </c>
      <c r="E62" s="226"/>
      <c r="F62" s="227"/>
      <c r="G62" s="227"/>
      <c r="H62" s="186">
        <v>4.36</v>
      </c>
      <c r="I62" s="186">
        <v>0.22</v>
      </c>
      <c r="J62" s="186">
        <v>0.5</v>
      </c>
      <c r="K62" s="186">
        <f t="shared" si="2"/>
        <v>1.3</v>
      </c>
      <c r="L62" s="225"/>
      <c r="M62" s="206">
        <v>-1.4</v>
      </c>
      <c r="N62" s="225">
        <f t="shared" si="3"/>
        <v>0.1</v>
      </c>
      <c r="O62" s="186">
        <v>4</v>
      </c>
      <c r="P62" s="228">
        <f t="shared" si="4"/>
        <v>1.4709759999999998</v>
      </c>
      <c r="Q62" s="228">
        <f t="shared" si="5"/>
        <v>0.13952000000000003</v>
      </c>
      <c r="R62" s="228">
        <f t="shared" si="6"/>
        <v>0.4796</v>
      </c>
      <c r="S62" s="228">
        <f t="shared" si="7"/>
        <v>4.36</v>
      </c>
    </row>
    <row r="63" spans="1:19" ht="15">
      <c r="A63" s="180"/>
      <c r="B63" s="180"/>
      <c r="C63" s="181" t="s">
        <v>311</v>
      </c>
      <c r="D63" s="196">
        <v>1</v>
      </c>
      <c r="E63" s="226"/>
      <c r="F63" s="227"/>
      <c r="G63" s="227"/>
      <c r="H63" s="186">
        <v>4.46</v>
      </c>
      <c r="I63" s="186">
        <v>0.22</v>
      </c>
      <c r="J63" s="186">
        <v>0.5</v>
      </c>
      <c r="K63" s="186">
        <f t="shared" si="2"/>
        <v>1.3</v>
      </c>
      <c r="L63" s="225"/>
      <c r="M63" s="206">
        <v>-1.4</v>
      </c>
      <c r="N63" s="225">
        <f t="shared" si="3"/>
        <v>0.1</v>
      </c>
      <c r="O63" s="186">
        <v>4</v>
      </c>
      <c r="P63" s="228">
        <f t="shared" si="4"/>
        <v>1.5063359999999997</v>
      </c>
      <c r="Q63" s="228">
        <f t="shared" si="5"/>
        <v>0.14272</v>
      </c>
      <c r="R63" s="228">
        <f t="shared" si="6"/>
        <v>0.4906</v>
      </c>
      <c r="S63" s="228">
        <f t="shared" si="7"/>
        <v>4.46</v>
      </c>
    </row>
    <row r="64" spans="1:19" ht="15">
      <c r="A64" s="180"/>
      <c r="B64" s="180"/>
      <c r="C64" s="181" t="s">
        <v>309</v>
      </c>
      <c r="D64" s="196">
        <v>1</v>
      </c>
      <c r="E64" s="226"/>
      <c r="F64" s="227"/>
      <c r="G64" s="227"/>
      <c r="H64" s="186">
        <v>4.31</v>
      </c>
      <c r="I64" s="186">
        <v>0.22</v>
      </c>
      <c r="J64" s="186">
        <v>0.5</v>
      </c>
      <c r="K64" s="186">
        <f t="shared" si="2"/>
        <v>1.3</v>
      </c>
      <c r="L64" s="225"/>
      <c r="M64" s="206">
        <v>-1.4</v>
      </c>
      <c r="N64" s="225">
        <f t="shared" si="3"/>
        <v>0.1</v>
      </c>
      <c r="O64" s="186">
        <v>4</v>
      </c>
      <c r="P64" s="228">
        <f t="shared" si="4"/>
        <v>1.4532959999999997</v>
      </c>
      <c r="Q64" s="228">
        <f t="shared" si="5"/>
        <v>0.13792000000000001</v>
      </c>
      <c r="R64" s="228">
        <f t="shared" si="6"/>
        <v>0.47409999999999997</v>
      </c>
      <c r="S64" s="228">
        <f t="shared" si="7"/>
        <v>4.31</v>
      </c>
    </row>
    <row r="65" spans="1:19" ht="15">
      <c r="A65" s="180"/>
      <c r="B65" s="180"/>
      <c r="C65" s="181" t="s">
        <v>312</v>
      </c>
      <c r="D65" s="196">
        <v>1</v>
      </c>
      <c r="E65" s="226"/>
      <c r="F65" s="227"/>
      <c r="G65" s="227"/>
      <c r="H65" s="186">
        <v>3.22</v>
      </c>
      <c r="I65" s="186">
        <v>0.22</v>
      </c>
      <c r="J65" s="186">
        <v>0.5</v>
      </c>
      <c r="K65" s="186">
        <f t="shared" si="2"/>
        <v>1.3</v>
      </c>
      <c r="L65" s="225"/>
      <c r="M65" s="206">
        <v>-1.4</v>
      </c>
      <c r="N65" s="225">
        <f t="shared" si="3"/>
        <v>0.1</v>
      </c>
      <c r="O65" s="186">
        <v>0</v>
      </c>
      <c r="P65" s="228">
        <f t="shared" si="4"/>
        <v>1.1385919999999998</v>
      </c>
      <c r="Q65" s="228">
        <f t="shared" si="5"/>
        <v>0.10304</v>
      </c>
      <c r="R65" s="228">
        <f t="shared" si="6"/>
        <v>0.3542</v>
      </c>
      <c r="S65" s="228">
        <f t="shared" si="7"/>
        <v>3.22</v>
      </c>
    </row>
    <row r="66" spans="1:19" ht="15">
      <c r="A66" s="180"/>
      <c r="B66" s="180"/>
      <c r="C66" s="181" t="s">
        <v>313</v>
      </c>
      <c r="D66" s="196">
        <v>1</v>
      </c>
      <c r="E66" s="226"/>
      <c r="F66" s="227"/>
      <c r="G66" s="227"/>
      <c r="H66" s="186">
        <v>3.98</v>
      </c>
      <c r="I66" s="186">
        <v>0.22</v>
      </c>
      <c r="J66" s="186">
        <v>0.3</v>
      </c>
      <c r="K66" s="186">
        <f t="shared" si="2"/>
        <v>1.3</v>
      </c>
      <c r="L66" s="225"/>
      <c r="M66" s="206">
        <v>-0.55</v>
      </c>
      <c r="N66" s="225">
        <f t="shared" si="3"/>
        <v>0.1</v>
      </c>
      <c r="O66" s="186">
        <v>0</v>
      </c>
      <c r="P66" s="228">
        <f t="shared" si="4"/>
        <v>0</v>
      </c>
      <c r="Q66" s="228">
        <f t="shared" si="5"/>
        <v>0.12736</v>
      </c>
      <c r="R66" s="228">
        <f t="shared" si="6"/>
        <v>0.26268</v>
      </c>
      <c r="S66" s="228">
        <f t="shared" si="7"/>
        <v>2.388</v>
      </c>
    </row>
    <row r="67" spans="1:19" ht="15">
      <c r="A67" s="180"/>
      <c r="B67" s="180"/>
      <c r="C67" s="181" t="s">
        <v>314</v>
      </c>
      <c r="D67" s="196">
        <v>1</v>
      </c>
      <c r="E67" s="226"/>
      <c r="F67" s="227"/>
      <c r="G67" s="227"/>
      <c r="H67" s="186">
        <v>2.78</v>
      </c>
      <c r="I67" s="186">
        <v>0.15</v>
      </c>
      <c r="J67" s="186">
        <v>0.3</v>
      </c>
      <c r="K67" s="186">
        <f t="shared" si="2"/>
        <v>1.3</v>
      </c>
      <c r="L67" s="225"/>
      <c r="M67" s="206">
        <v>-0.55</v>
      </c>
      <c r="N67" s="225">
        <f t="shared" si="3"/>
        <v>0.1</v>
      </c>
      <c r="O67" s="186">
        <v>0</v>
      </c>
      <c r="P67" s="228">
        <f t="shared" si="4"/>
        <v>0</v>
      </c>
      <c r="Q67" s="228">
        <f t="shared" si="5"/>
        <v>0.06949999999999999</v>
      </c>
      <c r="R67" s="228">
        <f t="shared" si="6"/>
        <v>0.1251</v>
      </c>
      <c r="S67" s="228">
        <f t="shared" si="7"/>
        <v>1.668</v>
      </c>
    </row>
    <row r="68" spans="1:19" ht="15">
      <c r="A68" s="180"/>
      <c r="B68" s="180"/>
      <c r="C68" s="181" t="s">
        <v>315</v>
      </c>
      <c r="D68" s="196">
        <v>1</v>
      </c>
      <c r="E68" s="226"/>
      <c r="F68" s="227"/>
      <c r="G68" s="227"/>
      <c r="H68" s="186">
        <v>1.91</v>
      </c>
      <c r="I68" s="186">
        <v>0.15</v>
      </c>
      <c r="J68" s="186">
        <v>0.3</v>
      </c>
      <c r="K68" s="186">
        <f t="shared" si="2"/>
        <v>1.3</v>
      </c>
      <c r="L68" s="225"/>
      <c r="M68" s="206">
        <v>-0.55</v>
      </c>
      <c r="N68" s="225">
        <f t="shared" si="3"/>
        <v>0.1</v>
      </c>
      <c r="O68" s="186">
        <v>0</v>
      </c>
      <c r="P68" s="228">
        <f t="shared" si="4"/>
        <v>0</v>
      </c>
      <c r="Q68" s="228">
        <f t="shared" si="5"/>
        <v>0.04775</v>
      </c>
      <c r="R68" s="228">
        <f t="shared" si="6"/>
        <v>0.08594999999999998</v>
      </c>
      <c r="S68" s="228">
        <f t="shared" si="7"/>
        <v>1.146</v>
      </c>
    </row>
    <row r="69" spans="1:19" ht="15">
      <c r="A69" s="221">
        <v>3</v>
      </c>
      <c r="B69" s="221"/>
      <c r="C69" s="221" t="s">
        <v>340</v>
      </c>
      <c r="D69" s="221"/>
      <c r="E69" s="222"/>
      <c r="F69" s="223"/>
      <c r="G69" s="223"/>
      <c r="H69" s="224"/>
      <c r="I69" s="224"/>
      <c r="J69" s="224"/>
      <c r="K69" s="224"/>
      <c r="L69" s="224"/>
      <c r="M69" s="224"/>
      <c r="N69" s="224"/>
      <c r="O69" s="224"/>
      <c r="P69" s="229">
        <f>SUM(P70:P72)</f>
        <v>0</v>
      </c>
      <c r="Q69" s="229">
        <f>SUM(Q70:Q72)</f>
        <v>0</v>
      </c>
      <c r="R69" s="229">
        <f>SUM(R70:R72)</f>
        <v>0.49852</v>
      </c>
      <c r="S69" s="229">
        <f>SUM(S70:S72)</f>
        <v>9.064</v>
      </c>
    </row>
    <row r="70" spans="1:19" ht="15">
      <c r="A70" s="180"/>
      <c r="B70" s="180"/>
      <c r="C70" s="181" t="s">
        <v>343</v>
      </c>
      <c r="D70" s="196">
        <v>1</v>
      </c>
      <c r="E70" s="226"/>
      <c r="F70" s="227"/>
      <c r="G70" s="227"/>
      <c r="H70" s="186">
        <v>0.22</v>
      </c>
      <c r="I70" s="186">
        <v>0.22</v>
      </c>
      <c r="J70" s="186">
        <f>0.8-0.4</f>
        <v>0.4</v>
      </c>
      <c r="K70" s="225"/>
      <c r="L70" s="225"/>
      <c r="M70" s="225"/>
      <c r="N70" s="225"/>
      <c r="O70" s="225"/>
      <c r="P70" s="225"/>
      <c r="Q70" s="225"/>
      <c r="R70" s="268">
        <f>PRODUCT(D70:J70)</f>
        <v>0.019360000000000002</v>
      </c>
      <c r="S70" s="182">
        <f>PRODUCT(D70,(H70+I70)*2,J70)</f>
        <v>0.35200000000000004</v>
      </c>
    </row>
    <row r="71" spans="1:19" ht="15">
      <c r="A71" s="180"/>
      <c r="B71" s="180"/>
      <c r="C71" s="181" t="s">
        <v>344</v>
      </c>
      <c r="D71" s="196">
        <v>3</v>
      </c>
      <c r="E71" s="226"/>
      <c r="F71" s="227"/>
      <c r="G71" s="227"/>
      <c r="H71" s="186">
        <v>0.22</v>
      </c>
      <c r="I71" s="186">
        <v>0.22</v>
      </c>
      <c r="J71" s="186">
        <f>0.8-0.05</f>
        <v>0.75</v>
      </c>
      <c r="K71" s="225"/>
      <c r="L71" s="225"/>
      <c r="M71" s="225"/>
      <c r="N71" s="225"/>
      <c r="O71" s="225"/>
      <c r="P71" s="225"/>
      <c r="Q71" s="225"/>
      <c r="R71" s="268">
        <f>PRODUCT(D71:J71)</f>
        <v>0.1089</v>
      </c>
      <c r="S71" s="182">
        <f>PRODUCT(D71,(H71+I71)*2,J71)</f>
        <v>1.98</v>
      </c>
    </row>
    <row r="72" spans="1:19" ht="15">
      <c r="A72" s="180"/>
      <c r="B72" s="180"/>
      <c r="C72" s="181" t="s">
        <v>345</v>
      </c>
      <c r="D72" s="196">
        <v>9</v>
      </c>
      <c r="E72" s="226"/>
      <c r="F72" s="227"/>
      <c r="G72" s="227"/>
      <c r="H72" s="186">
        <v>0.22</v>
      </c>
      <c r="I72" s="186">
        <v>0.22</v>
      </c>
      <c r="J72" s="186">
        <f>0.8+0.05</f>
        <v>0.8500000000000001</v>
      </c>
      <c r="K72" s="225"/>
      <c r="L72" s="225"/>
      <c r="M72" s="225"/>
      <c r="N72" s="225"/>
      <c r="O72" s="225"/>
      <c r="P72" s="225"/>
      <c r="Q72" s="225"/>
      <c r="R72" s="268">
        <f>PRODUCT(D72:J72)</f>
        <v>0.37026000000000003</v>
      </c>
      <c r="S72" s="182">
        <f>PRODUCT(D72,(H72+I72)*2,J72)</f>
        <v>6.732</v>
      </c>
    </row>
    <row r="73" spans="1:19" ht="15">
      <c r="A73" s="221">
        <v>4</v>
      </c>
      <c r="B73" s="221"/>
      <c r="C73" s="221" t="s">
        <v>341</v>
      </c>
      <c r="D73" s="221"/>
      <c r="E73" s="222"/>
      <c r="F73" s="223"/>
      <c r="G73" s="223"/>
      <c r="H73" s="224"/>
      <c r="I73" s="224"/>
      <c r="J73" s="224"/>
      <c r="K73" s="224"/>
      <c r="L73" s="224"/>
      <c r="M73" s="224"/>
      <c r="N73" s="224"/>
      <c r="O73" s="224"/>
      <c r="P73" s="229">
        <f>SUM(P74:P76)</f>
        <v>0</v>
      </c>
      <c r="Q73" s="229">
        <f>SUM(Q74:Q76)</f>
        <v>0</v>
      </c>
      <c r="R73" s="229">
        <f>SUM(R74:R76)</f>
        <v>3.438</v>
      </c>
      <c r="S73" s="229">
        <f>SUM(S74:S76)</f>
        <v>19.71</v>
      </c>
    </row>
    <row r="74" spans="1:19" ht="15">
      <c r="A74" s="180"/>
      <c r="B74" s="180"/>
      <c r="C74" s="181" t="s">
        <v>342</v>
      </c>
      <c r="D74" s="196">
        <v>2</v>
      </c>
      <c r="E74" s="226"/>
      <c r="F74" s="227"/>
      <c r="G74" s="227"/>
      <c r="H74" s="186">
        <v>0.6</v>
      </c>
      <c r="I74" s="186">
        <v>1.2</v>
      </c>
      <c r="J74" s="186">
        <f>0.8-0.4</f>
        <v>0.4</v>
      </c>
      <c r="K74" s="225"/>
      <c r="L74" s="225"/>
      <c r="M74" s="225"/>
      <c r="N74" s="225"/>
      <c r="O74" s="225"/>
      <c r="P74" s="225"/>
      <c r="Q74" s="225"/>
      <c r="R74" s="268">
        <f>PRODUCT(D74:J74)</f>
        <v>0.576</v>
      </c>
      <c r="S74" s="182">
        <f>PRODUCT(D74,(H74+I74)*2,J74)</f>
        <v>2.88</v>
      </c>
    </row>
    <row r="75" spans="1:19" ht="15">
      <c r="A75" s="180"/>
      <c r="B75" s="180"/>
      <c r="C75" s="181" t="s">
        <v>346</v>
      </c>
      <c r="D75" s="196">
        <v>5</v>
      </c>
      <c r="E75" s="226"/>
      <c r="F75" s="227"/>
      <c r="G75" s="227"/>
      <c r="H75" s="186">
        <v>0.5</v>
      </c>
      <c r="I75" s="186">
        <v>1.2</v>
      </c>
      <c r="J75" s="186">
        <f>0.8-0.05</f>
        <v>0.75</v>
      </c>
      <c r="K75" s="225"/>
      <c r="L75" s="225"/>
      <c r="M75" s="225"/>
      <c r="N75" s="225"/>
      <c r="O75" s="225"/>
      <c r="P75" s="225"/>
      <c r="Q75" s="225"/>
      <c r="R75" s="268">
        <f>PRODUCT(D75:J75)</f>
        <v>2.25</v>
      </c>
      <c r="S75" s="182">
        <f>PRODUCT(D75,(H75+I75)*2,J75)</f>
        <v>12.75</v>
      </c>
    </row>
    <row r="76" spans="1:19" ht="15">
      <c r="A76" s="180"/>
      <c r="B76" s="180"/>
      <c r="C76" s="181" t="s">
        <v>347</v>
      </c>
      <c r="D76" s="196">
        <v>2</v>
      </c>
      <c r="E76" s="226"/>
      <c r="F76" s="227"/>
      <c r="G76" s="227"/>
      <c r="H76" s="186">
        <v>0.6</v>
      </c>
      <c r="I76" s="186">
        <v>0.6</v>
      </c>
      <c r="J76" s="186">
        <f>0.8+0.05</f>
        <v>0.8500000000000001</v>
      </c>
      <c r="K76" s="225"/>
      <c r="L76" s="225"/>
      <c r="M76" s="225"/>
      <c r="N76" s="225"/>
      <c r="O76" s="225"/>
      <c r="P76" s="225"/>
      <c r="Q76" s="225"/>
      <c r="R76" s="268">
        <f>PRODUCT(D76:J76)</f>
        <v>0.612</v>
      </c>
      <c r="S76" s="182">
        <f>PRODUCT(D76,(H76+I76)*2,J76)</f>
        <v>4.08</v>
      </c>
    </row>
    <row r="77" spans="1:19" ht="15">
      <c r="A77" s="221">
        <v>5</v>
      </c>
      <c r="B77" s="221"/>
      <c r="C77" s="221" t="s">
        <v>348</v>
      </c>
      <c r="D77" s="221"/>
      <c r="E77" s="222"/>
      <c r="F77" s="223"/>
      <c r="G77" s="223"/>
      <c r="H77" s="224"/>
      <c r="I77" s="224"/>
      <c r="J77" s="224"/>
      <c r="K77" s="224"/>
      <c r="L77" s="224"/>
      <c r="M77" s="224"/>
      <c r="N77" s="224"/>
      <c r="O77" s="224"/>
      <c r="P77" s="229">
        <f>SUM(P78:P80)</f>
        <v>0</v>
      </c>
      <c r="Q77" s="229">
        <f>SUM(Q78:Q80)</f>
        <v>0</v>
      </c>
      <c r="R77" s="229">
        <f>SUM(R78:R80)</f>
        <v>6.435110000000001</v>
      </c>
      <c r="S77" s="229">
        <f>SUM(S78:S80)</f>
        <v>0</v>
      </c>
    </row>
    <row r="78" spans="1:19" ht="15">
      <c r="A78" s="180"/>
      <c r="B78" s="180"/>
      <c r="C78" s="181" t="s">
        <v>349</v>
      </c>
      <c r="D78" s="196">
        <v>1</v>
      </c>
      <c r="E78" s="226"/>
      <c r="F78" s="227"/>
      <c r="G78" s="227"/>
      <c r="H78" s="186">
        <v>12.5</v>
      </c>
      <c r="I78" s="186">
        <v>0.22</v>
      </c>
      <c r="J78" s="186">
        <v>0.6</v>
      </c>
      <c r="K78" s="225"/>
      <c r="L78" s="225"/>
      <c r="M78" s="225"/>
      <c r="N78" s="225"/>
      <c r="O78" s="225"/>
      <c r="P78" s="225"/>
      <c r="Q78" s="225"/>
      <c r="R78" s="268">
        <f>PRODUCT(D78:J78)</f>
        <v>1.65</v>
      </c>
      <c r="S78" s="225"/>
    </row>
    <row r="79" spans="1:19" ht="15">
      <c r="A79" s="180"/>
      <c r="B79" s="180"/>
      <c r="C79" s="181" t="s">
        <v>350</v>
      </c>
      <c r="D79" s="196">
        <v>1</v>
      </c>
      <c r="E79" s="226"/>
      <c r="F79" s="227"/>
      <c r="G79" s="227"/>
      <c r="H79" s="186">
        <v>25</v>
      </c>
      <c r="I79" s="186">
        <v>0.22</v>
      </c>
      <c r="J79" s="186">
        <f>0.8-0.05</f>
        <v>0.75</v>
      </c>
      <c r="K79" s="225"/>
      <c r="L79" s="225"/>
      <c r="M79" s="225"/>
      <c r="N79" s="225"/>
      <c r="O79" s="225"/>
      <c r="P79" s="225"/>
      <c r="Q79" s="225"/>
      <c r="R79" s="268">
        <f>PRODUCT(D79:J79)</f>
        <v>4.125</v>
      </c>
      <c r="S79" s="225"/>
    </row>
    <row r="80" spans="1:19" ht="15">
      <c r="A80" s="180"/>
      <c r="B80" s="180"/>
      <c r="C80" s="181" t="s">
        <v>351</v>
      </c>
      <c r="D80" s="196">
        <v>1</v>
      </c>
      <c r="E80" s="226"/>
      <c r="F80" s="227"/>
      <c r="G80" s="227"/>
      <c r="H80" s="186">
        <v>3.53</v>
      </c>
      <c r="I80" s="186">
        <v>0.22</v>
      </c>
      <c r="J80" s="186">
        <f>0.8+0.05</f>
        <v>0.8500000000000001</v>
      </c>
      <c r="K80" s="225"/>
      <c r="L80" s="225"/>
      <c r="M80" s="225"/>
      <c r="N80" s="225"/>
      <c r="O80" s="225"/>
      <c r="P80" s="225"/>
      <c r="Q80" s="225"/>
      <c r="R80" s="268">
        <f>PRODUCT(D80:J80)</f>
        <v>0.6601100000000001</v>
      </c>
      <c r="S80" s="225"/>
    </row>
    <row r="81" spans="1:19" ht="15">
      <c r="A81" s="221">
        <v>5</v>
      </c>
      <c r="B81" s="221"/>
      <c r="C81" s="221" t="s">
        <v>352</v>
      </c>
      <c r="D81" s="221"/>
      <c r="E81" s="222"/>
      <c r="F81" s="223"/>
      <c r="G81" s="223"/>
      <c r="H81" s="224"/>
      <c r="I81" s="224"/>
      <c r="J81" s="224"/>
      <c r="K81" s="224"/>
      <c r="L81" s="224"/>
      <c r="M81" s="224"/>
      <c r="N81" s="224"/>
      <c r="O81" s="224"/>
      <c r="P81" s="229">
        <f>SUM(P82:P84)</f>
        <v>0</v>
      </c>
      <c r="Q81" s="229">
        <f>SUM(Q82:Q84)</f>
        <v>0</v>
      </c>
      <c r="R81" s="229">
        <f>SUM(R82:R84)</f>
        <v>0.90266</v>
      </c>
      <c r="S81" s="229">
        <f>SUM(S82:S84)</f>
        <v>8.206</v>
      </c>
    </row>
    <row r="82" spans="1:19" ht="15">
      <c r="A82" s="180"/>
      <c r="B82" s="180"/>
      <c r="C82" s="181" t="s">
        <v>349</v>
      </c>
      <c r="D82" s="196">
        <v>1</v>
      </c>
      <c r="E82" s="226"/>
      <c r="F82" s="227"/>
      <c r="G82" s="227"/>
      <c r="H82" s="186">
        <v>12.5</v>
      </c>
      <c r="I82" s="186">
        <v>0.22</v>
      </c>
      <c r="J82" s="186">
        <v>0.1</v>
      </c>
      <c r="K82" s="225"/>
      <c r="L82" s="225"/>
      <c r="M82" s="225"/>
      <c r="N82" s="225"/>
      <c r="O82" s="225"/>
      <c r="P82" s="225"/>
      <c r="Q82" s="225"/>
      <c r="R82" s="268">
        <f>PRODUCT(D82:J82)</f>
        <v>0.275</v>
      </c>
      <c r="S82" s="225">
        <f>PRODUCT(D82:H82,(J82*2))</f>
        <v>2.5</v>
      </c>
    </row>
    <row r="83" spans="1:19" ht="15">
      <c r="A83" s="180"/>
      <c r="B83" s="180"/>
      <c r="C83" s="181" t="s">
        <v>350</v>
      </c>
      <c r="D83" s="196">
        <v>1</v>
      </c>
      <c r="E83" s="226"/>
      <c r="F83" s="227"/>
      <c r="G83" s="227"/>
      <c r="H83" s="186">
        <v>25</v>
      </c>
      <c r="I83" s="186">
        <v>0.22</v>
      </c>
      <c r="J83" s="186">
        <v>0.1</v>
      </c>
      <c r="K83" s="225"/>
      <c r="L83" s="225"/>
      <c r="M83" s="225"/>
      <c r="N83" s="225"/>
      <c r="O83" s="225"/>
      <c r="P83" s="225"/>
      <c r="Q83" s="225"/>
      <c r="R83" s="268">
        <f>PRODUCT(D83:J83)</f>
        <v>0.55</v>
      </c>
      <c r="S83" s="225">
        <f>PRODUCT(D83:H83,(J83*2))</f>
        <v>5</v>
      </c>
    </row>
    <row r="84" spans="1:19" ht="15">
      <c r="A84" s="180"/>
      <c r="B84" s="180"/>
      <c r="C84" s="181" t="s">
        <v>351</v>
      </c>
      <c r="D84" s="196">
        <v>1</v>
      </c>
      <c r="E84" s="226"/>
      <c r="F84" s="227"/>
      <c r="G84" s="227"/>
      <c r="H84" s="186">
        <v>3.53</v>
      </c>
      <c r="I84" s="186">
        <v>0.22</v>
      </c>
      <c r="J84" s="186">
        <v>0.1</v>
      </c>
      <c r="K84" s="225"/>
      <c r="L84" s="225"/>
      <c r="M84" s="225"/>
      <c r="N84" s="225"/>
      <c r="O84" s="225"/>
      <c r="P84" s="225"/>
      <c r="Q84" s="225"/>
      <c r="R84" s="268">
        <f>PRODUCT(D84:J84)</f>
        <v>0.07766</v>
      </c>
      <c r="S84" s="225">
        <f>PRODUCT(D84:H84,(J84*2))</f>
        <v>0.706</v>
      </c>
    </row>
  </sheetData>
  <sheetProtection/>
  <mergeCells count="6">
    <mergeCell ref="A1:S1"/>
    <mergeCell ref="A3:A4"/>
    <mergeCell ref="C3:C4"/>
    <mergeCell ref="B3:B4"/>
    <mergeCell ref="D3:K3"/>
    <mergeCell ref="L3:O3"/>
  </mergeCells>
  <printOptions/>
  <pageMargins left="0.55" right="0.21" top="0.83" bottom="0.46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94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2.75"/>
  <cols>
    <col min="1" max="1" width="4.421875" style="27" customWidth="1"/>
    <col min="2" max="2" width="15.140625" style="57" customWidth="1"/>
    <col min="3" max="3" width="7.57421875" style="27" customWidth="1"/>
    <col min="4" max="4" width="12.57421875" style="27" customWidth="1"/>
    <col min="5" max="6" width="9.140625" style="27" customWidth="1"/>
    <col min="7" max="7" width="10.8515625" style="27" customWidth="1"/>
    <col min="8" max="16384" width="9.140625" style="27" customWidth="1"/>
  </cols>
  <sheetData>
    <row r="1" spans="1:9" ht="16.5">
      <c r="A1" s="285" t="s">
        <v>136</v>
      </c>
      <c r="B1" s="285"/>
      <c r="C1" s="285"/>
      <c r="D1" s="285"/>
      <c r="E1" s="285"/>
      <c r="F1" s="285"/>
      <c r="G1" s="285"/>
      <c r="H1" s="285"/>
      <c r="I1" s="285"/>
    </row>
    <row r="2" spans="1:4" ht="14.25">
      <c r="A2" s="25"/>
      <c r="B2" s="25"/>
      <c r="C2" s="28"/>
      <c r="D2" s="29"/>
    </row>
    <row r="3" spans="1:9" s="30" customFormat="1" ht="12.75" customHeight="1">
      <c r="A3" s="311" t="s">
        <v>1</v>
      </c>
      <c r="B3" s="311" t="s">
        <v>137</v>
      </c>
      <c r="C3" s="312" t="s">
        <v>138</v>
      </c>
      <c r="D3" s="309" t="s">
        <v>146</v>
      </c>
      <c r="F3" s="311" t="s">
        <v>1</v>
      </c>
      <c r="G3" s="311" t="s">
        <v>137</v>
      </c>
      <c r="H3" s="312" t="s">
        <v>138</v>
      </c>
      <c r="I3" s="309" t="s">
        <v>146</v>
      </c>
    </row>
    <row r="4" spans="1:9" s="30" customFormat="1" ht="12.75">
      <c r="A4" s="311"/>
      <c r="B4" s="311"/>
      <c r="C4" s="313"/>
      <c r="D4" s="310"/>
      <c r="F4" s="311"/>
      <c r="G4" s="311"/>
      <c r="H4" s="313"/>
      <c r="I4" s="310"/>
    </row>
    <row r="5" spans="1:9" ht="16.5" customHeight="1">
      <c r="A5" s="31"/>
      <c r="B5" s="32" t="s">
        <v>147</v>
      </c>
      <c r="C5" s="31"/>
      <c r="D5" s="33"/>
      <c r="F5" s="31"/>
      <c r="G5" s="314" t="s">
        <v>148</v>
      </c>
      <c r="H5" s="315"/>
      <c r="I5" s="33"/>
    </row>
    <row r="6" spans="1:9" ht="12.75">
      <c r="A6" s="34">
        <v>1</v>
      </c>
      <c r="B6" s="35" t="s">
        <v>4</v>
      </c>
      <c r="C6" s="34">
        <v>12</v>
      </c>
      <c r="D6" s="36">
        <v>508.7</v>
      </c>
      <c r="F6" s="34">
        <v>1</v>
      </c>
      <c r="G6" s="35" t="s">
        <v>149</v>
      </c>
      <c r="H6" s="34">
        <v>12</v>
      </c>
      <c r="I6" s="36">
        <v>253</v>
      </c>
    </row>
    <row r="7" spans="1:9" ht="12.75">
      <c r="A7" s="37"/>
      <c r="B7" s="38"/>
      <c r="C7" s="34">
        <v>10</v>
      </c>
      <c r="D7" s="36">
        <v>349.7</v>
      </c>
      <c r="F7" s="37"/>
      <c r="G7" s="38"/>
      <c r="H7" s="39">
        <v>6</v>
      </c>
      <c r="I7" s="40">
        <v>38.5</v>
      </c>
    </row>
    <row r="8" spans="1:9" ht="12.75">
      <c r="A8" s="37">
        <v>2</v>
      </c>
      <c r="B8" s="38" t="s">
        <v>5</v>
      </c>
      <c r="C8" s="37"/>
      <c r="D8" s="41"/>
      <c r="F8" s="37">
        <v>2</v>
      </c>
      <c r="G8" s="38" t="s">
        <v>150</v>
      </c>
      <c r="H8" s="37"/>
      <c r="I8" s="41"/>
    </row>
    <row r="9" spans="1:9" ht="12.75">
      <c r="A9" s="37"/>
      <c r="B9" s="38"/>
      <c r="C9" s="34">
        <v>12</v>
      </c>
      <c r="D9" s="41">
        <v>60.1</v>
      </c>
      <c r="F9" s="37"/>
      <c r="G9" s="38"/>
      <c r="H9" s="34">
        <v>12</v>
      </c>
      <c r="I9" s="41">
        <v>87.6</v>
      </c>
    </row>
    <row r="10" spans="1:9" ht="12.75">
      <c r="A10" s="37"/>
      <c r="B10" s="38"/>
      <c r="C10" s="34">
        <v>10</v>
      </c>
      <c r="D10" s="41">
        <v>38.8</v>
      </c>
      <c r="F10" s="37"/>
      <c r="G10" s="38"/>
      <c r="H10" s="39">
        <v>6</v>
      </c>
      <c r="I10" s="41">
        <v>19.7</v>
      </c>
    </row>
    <row r="11" spans="1:9" ht="12.75">
      <c r="A11" s="37">
        <v>3</v>
      </c>
      <c r="B11" s="38" t="s">
        <v>11</v>
      </c>
      <c r="C11" s="37"/>
      <c r="D11" s="41"/>
      <c r="F11" s="37">
        <v>3</v>
      </c>
      <c r="G11" s="38" t="s">
        <v>151</v>
      </c>
      <c r="H11" s="37"/>
      <c r="I11" s="41"/>
    </row>
    <row r="12" spans="1:9" ht="12.75">
      <c r="A12" s="37"/>
      <c r="B12" s="38"/>
      <c r="C12" s="34">
        <v>12</v>
      </c>
      <c r="D12" s="41">
        <v>111.9</v>
      </c>
      <c r="F12" s="37"/>
      <c r="G12" s="38"/>
      <c r="H12" s="34">
        <v>18</v>
      </c>
      <c r="I12" s="41">
        <v>38.8</v>
      </c>
    </row>
    <row r="13" spans="1:9" ht="12.75">
      <c r="A13" s="37"/>
      <c r="B13" s="38"/>
      <c r="C13" s="34">
        <v>10</v>
      </c>
      <c r="D13" s="41">
        <v>74.9</v>
      </c>
      <c r="F13" s="37"/>
      <c r="G13" s="38"/>
      <c r="H13" s="39">
        <v>18</v>
      </c>
      <c r="I13" s="41">
        <v>52.3</v>
      </c>
    </row>
    <row r="14" spans="1:9" ht="12.75">
      <c r="A14" s="37">
        <v>4</v>
      </c>
      <c r="B14" s="38" t="s">
        <v>152</v>
      </c>
      <c r="C14" s="37"/>
      <c r="D14" s="41"/>
      <c r="F14" s="37"/>
      <c r="G14" s="38"/>
      <c r="H14" s="37">
        <v>6</v>
      </c>
      <c r="I14" s="41">
        <v>10.8</v>
      </c>
    </row>
    <row r="15" spans="1:9" ht="12.75">
      <c r="A15" s="37"/>
      <c r="B15" s="38"/>
      <c r="C15" s="34">
        <v>12</v>
      </c>
      <c r="D15" s="41">
        <v>347.5</v>
      </c>
      <c r="F15" s="37">
        <v>4</v>
      </c>
      <c r="G15" s="38" t="s">
        <v>15</v>
      </c>
      <c r="H15" s="34">
        <v>18</v>
      </c>
      <c r="I15" s="41">
        <v>18.2</v>
      </c>
    </row>
    <row r="16" spans="1:9" ht="12.75">
      <c r="A16" s="37"/>
      <c r="B16" s="38"/>
      <c r="C16" s="34">
        <v>10</v>
      </c>
      <c r="D16" s="41">
        <v>212.7</v>
      </c>
      <c r="F16" s="37"/>
      <c r="G16" s="38"/>
      <c r="H16" s="39">
        <v>18</v>
      </c>
      <c r="I16" s="41">
        <v>24.3</v>
      </c>
    </row>
    <row r="17" spans="1:9" ht="12.75">
      <c r="A17" s="37">
        <v>5</v>
      </c>
      <c r="B17" s="38" t="s">
        <v>153</v>
      </c>
      <c r="C17" s="37"/>
      <c r="D17" s="41"/>
      <c r="F17" s="37"/>
      <c r="G17" s="38"/>
      <c r="H17" s="37">
        <v>6</v>
      </c>
      <c r="I17" s="41">
        <v>4.9</v>
      </c>
    </row>
    <row r="18" spans="1:9" ht="12.75">
      <c r="A18" s="37"/>
      <c r="B18" s="38"/>
      <c r="C18" s="34">
        <v>12</v>
      </c>
      <c r="D18" s="41">
        <v>173.7</v>
      </c>
      <c r="F18" s="37">
        <v>5</v>
      </c>
      <c r="G18" s="38" t="s">
        <v>16</v>
      </c>
      <c r="H18" s="34">
        <v>18</v>
      </c>
      <c r="I18" s="41">
        <v>19</v>
      </c>
    </row>
    <row r="19" spans="1:9" ht="12.75">
      <c r="A19" s="37"/>
      <c r="B19" s="38"/>
      <c r="C19" s="34">
        <v>10</v>
      </c>
      <c r="D19" s="41">
        <v>106.4</v>
      </c>
      <c r="F19" s="37"/>
      <c r="G19" s="38"/>
      <c r="H19" s="39">
        <v>18</v>
      </c>
      <c r="I19" s="41">
        <v>25.5</v>
      </c>
    </row>
    <row r="20" spans="1:9" ht="12.75">
      <c r="A20" s="37">
        <v>6</v>
      </c>
      <c r="B20" s="38" t="s">
        <v>12</v>
      </c>
      <c r="C20" s="37"/>
      <c r="D20" s="41"/>
      <c r="F20" s="37"/>
      <c r="G20" s="38"/>
      <c r="H20" s="37">
        <v>6</v>
      </c>
      <c r="I20" s="41">
        <v>5.2</v>
      </c>
    </row>
    <row r="21" spans="1:9" ht="12.75">
      <c r="A21" s="37"/>
      <c r="B21" s="38"/>
      <c r="C21" s="34">
        <v>12</v>
      </c>
      <c r="D21" s="41">
        <v>164.2</v>
      </c>
      <c r="F21" s="37">
        <v>6</v>
      </c>
      <c r="G21" s="38" t="s">
        <v>17</v>
      </c>
      <c r="H21" s="34">
        <v>18</v>
      </c>
      <c r="I21" s="41">
        <v>20.2</v>
      </c>
    </row>
    <row r="22" spans="1:9" ht="12.75">
      <c r="A22" s="37"/>
      <c r="B22" s="38"/>
      <c r="C22" s="34">
        <v>10</v>
      </c>
      <c r="D22" s="41">
        <v>100.4</v>
      </c>
      <c r="F22" s="37"/>
      <c r="G22" s="38"/>
      <c r="H22" s="39">
        <v>18</v>
      </c>
      <c r="I22" s="41">
        <v>27.3</v>
      </c>
    </row>
    <row r="23" spans="1:9" ht="12.75">
      <c r="A23" s="37">
        <v>7</v>
      </c>
      <c r="B23" s="38" t="s">
        <v>13</v>
      </c>
      <c r="C23" s="37"/>
      <c r="D23" s="41"/>
      <c r="F23" s="37"/>
      <c r="G23" s="38"/>
      <c r="H23" s="37">
        <v>6</v>
      </c>
      <c r="I23" s="41">
        <v>5.6</v>
      </c>
    </row>
    <row r="24" spans="1:9" ht="12.75">
      <c r="A24" s="37"/>
      <c r="B24" s="38"/>
      <c r="C24" s="34">
        <v>12</v>
      </c>
      <c r="D24" s="41">
        <v>29.2</v>
      </c>
      <c r="F24" s="37">
        <v>7</v>
      </c>
      <c r="G24" s="38" t="s">
        <v>18</v>
      </c>
      <c r="H24" s="34">
        <v>18</v>
      </c>
      <c r="I24" s="41">
        <v>6.2</v>
      </c>
    </row>
    <row r="25" spans="1:9" ht="12.75">
      <c r="A25" s="37"/>
      <c r="B25" s="38"/>
      <c r="C25" s="34">
        <v>10</v>
      </c>
      <c r="D25" s="41">
        <v>19</v>
      </c>
      <c r="F25" s="37"/>
      <c r="G25" s="38"/>
      <c r="H25" s="39">
        <v>18</v>
      </c>
      <c r="I25" s="41">
        <v>6.4</v>
      </c>
    </row>
    <row r="26" spans="1:9" ht="12.75">
      <c r="A26" s="37">
        <v>8</v>
      </c>
      <c r="B26" s="38" t="s">
        <v>14</v>
      </c>
      <c r="C26" s="37"/>
      <c r="D26" s="41"/>
      <c r="F26" s="37"/>
      <c r="G26" s="38"/>
      <c r="H26" s="37">
        <v>6</v>
      </c>
      <c r="I26" s="41">
        <v>1.4</v>
      </c>
    </row>
    <row r="27" spans="1:9" ht="12.75">
      <c r="A27" s="37"/>
      <c r="B27" s="38"/>
      <c r="C27" s="34">
        <v>12</v>
      </c>
      <c r="D27" s="41">
        <v>38.4</v>
      </c>
      <c r="F27" s="37">
        <v>8</v>
      </c>
      <c r="G27" s="38" t="s">
        <v>154</v>
      </c>
      <c r="H27" s="34">
        <v>18</v>
      </c>
      <c r="I27" s="41">
        <v>10.3</v>
      </c>
    </row>
    <row r="28" spans="1:9" ht="12.75">
      <c r="A28" s="37"/>
      <c r="B28" s="38"/>
      <c r="C28" s="34">
        <v>10</v>
      </c>
      <c r="D28" s="41">
        <v>24</v>
      </c>
      <c r="F28" s="37"/>
      <c r="G28" s="38"/>
      <c r="H28" s="39">
        <v>18</v>
      </c>
      <c r="I28" s="41">
        <v>12.4</v>
      </c>
    </row>
    <row r="29" spans="1:9" ht="12.75">
      <c r="A29" s="37">
        <v>9</v>
      </c>
      <c r="B29" s="38" t="s">
        <v>122</v>
      </c>
      <c r="C29" s="34">
        <v>22</v>
      </c>
      <c r="D29" s="41">
        <v>1406.1</v>
      </c>
      <c r="F29" s="37"/>
      <c r="G29" s="38"/>
      <c r="H29" s="37">
        <v>6</v>
      </c>
      <c r="I29" s="41">
        <v>2.6</v>
      </c>
    </row>
    <row r="30" spans="1:9" ht="12.75">
      <c r="A30" s="37"/>
      <c r="B30" s="38"/>
      <c r="C30" s="34">
        <v>8</v>
      </c>
      <c r="D30" s="41">
        <v>308.3</v>
      </c>
      <c r="F30" s="37"/>
      <c r="G30" s="42" t="s">
        <v>19</v>
      </c>
      <c r="H30" s="39"/>
      <c r="I30" s="41"/>
    </row>
    <row r="31" spans="1:9" ht="12.75">
      <c r="A31" s="37"/>
      <c r="B31" s="38"/>
      <c r="C31" s="34">
        <v>12</v>
      </c>
      <c r="D31" s="41">
        <v>97.4</v>
      </c>
      <c r="F31" s="37"/>
      <c r="G31" s="38" t="s">
        <v>123</v>
      </c>
      <c r="H31" s="39">
        <v>12</v>
      </c>
      <c r="I31" s="41">
        <v>21.1</v>
      </c>
    </row>
    <row r="32" spans="1:9" ht="12.75">
      <c r="A32" s="37"/>
      <c r="B32" s="38"/>
      <c r="C32" s="34">
        <v>6</v>
      </c>
      <c r="D32" s="41">
        <v>31</v>
      </c>
      <c r="F32" s="37"/>
      <c r="G32" s="38" t="s">
        <v>124</v>
      </c>
      <c r="H32" s="39">
        <v>6</v>
      </c>
      <c r="I32" s="41">
        <v>3.6</v>
      </c>
    </row>
    <row r="33" spans="1:9" ht="12.75">
      <c r="A33" s="37">
        <v>10</v>
      </c>
      <c r="B33" s="38" t="s">
        <v>125</v>
      </c>
      <c r="C33" s="34">
        <v>22</v>
      </c>
      <c r="D33" s="41">
        <v>247.8</v>
      </c>
      <c r="F33" s="37"/>
      <c r="G33" s="38" t="s">
        <v>126</v>
      </c>
      <c r="H33" s="39">
        <v>12</v>
      </c>
      <c r="I33" s="41">
        <v>20.8</v>
      </c>
    </row>
    <row r="34" spans="1:9" ht="12.75">
      <c r="A34" s="37"/>
      <c r="B34" s="38"/>
      <c r="C34" s="34">
        <v>8</v>
      </c>
      <c r="D34" s="41">
        <v>49.9</v>
      </c>
      <c r="F34" s="37"/>
      <c r="G34" s="38" t="s">
        <v>127</v>
      </c>
      <c r="H34" s="39">
        <v>6</v>
      </c>
      <c r="I34" s="41">
        <v>3.6</v>
      </c>
    </row>
    <row r="35" spans="1:9" ht="12.75">
      <c r="A35" s="37"/>
      <c r="B35" s="38"/>
      <c r="C35" s="34">
        <v>12</v>
      </c>
      <c r="D35" s="41">
        <v>14.9</v>
      </c>
      <c r="F35" s="37"/>
      <c r="G35" s="41"/>
      <c r="H35" s="41"/>
      <c r="I35" s="41"/>
    </row>
    <row r="36" spans="1:9" ht="12.75">
      <c r="A36" s="37"/>
      <c r="B36" s="38"/>
      <c r="C36" s="34">
        <v>6</v>
      </c>
      <c r="D36" s="41">
        <v>5</v>
      </c>
      <c r="F36" s="37"/>
      <c r="G36" s="41"/>
      <c r="H36" s="41"/>
      <c r="I36" s="41"/>
    </row>
    <row r="37" spans="1:9" ht="12.75">
      <c r="A37" s="37">
        <v>11</v>
      </c>
      <c r="B37" s="38" t="s">
        <v>130</v>
      </c>
      <c r="C37" s="34">
        <v>22</v>
      </c>
      <c r="D37" s="41">
        <v>495.8</v>
      </c>
      <c r="F37" s="37"/>
      <c r="G37" s="38" t="s">
        <v>128</v>
      </c>
      <c r="H37" s="39">
        <v>12</v>
      </c>
      <c r="I37" s="41">
        <v>12.6</v>
      </c>
    </row>
    <row r="38" spans="1:9" ht="12.75">
      <c r="A38" s="37"/>
      <c r="B38" s="38"/>
      <c r="C38" s="34">
        <v>8</v>
      </c>
      <c r="D38" s="41">
        <v>109.4</v>
      </c>
      <c r="F38" s="37"/>
      <c r="G38" s="38" t="s">
        <v>129</v>
      </c>
      <c r="H38" s="39">
        <v>6</v>
      </c>
      <c r="I38" s="41">
        <v>2.3</v>
      </c>
    </row>
    <row r="39" spans="1:9" ht="12.75">
      <c r="A39" s="37"/>
      <c r="B39" s="38"/>
      <c r="C39" s="34">
        <v>12</v>
      </c>
      <c r="D39" s="41">
        <v>34.2</v>
      </c>
      <c r="F39" s="37"/>
      <c r="G39" s="42" t="s">
        <v>131</v>
      </c>
      <c r="H39" s="159">
        <v>6</v>
      </c>
      <c r="I39" s="56">
        <f>SUMIF($H$6:$H$38,H39,$I$6:$I$38)</f>
        <v>98.19999999999999</v>
      </c>
    </row>
    <row r="40" spans="1:9" ht="12.75">
      <c r="A40" s="37"/>
      <c r="B40" s="38"/>
      <c r="C40" s="34">
        <v>6</v>
      </c>
      <c r="D40" s="41">
        <v>11</v>
      </c>
      <c r="F40" s="37"/>
      <c r="G40" s="38"/>
      <c r="H40" s="159">
        <v>12</v>
      </c>
      <c r="I40" s="56">
        <f>SUMIF($H$6:$H$38,H40,$I$6:$I$38)</f>
        <v>395.1000000000001</v>
      </c>
    </row>
    <row r="41" spans="1:9" ht="12.75">
      <c r="A41" s="37">
        <v>12</v>
      </c>
      <c r="B41" s="38" t="s">
        <v>132</v>
      </c>
      <c r="C41" s="34">
        <v>22</v>
      </c>
      <c r="D41" s="41">
        <v>1550.5</v>
      </c>
      <c r="F41" s="44"/>
      <c r="G41" s="45"/>
      <c r="H41" s="160">
        <v>18</v>
      </c>
      <c r="I41" s="55">
        <f>SUMIF($H$6:$H$38,H41,$I$6:$I$38)</f>
        <v>260.9</v>
      </c>
    </row>
    <row r="42" spans="1:9" ht="12.75">
      <c r="A42" s="37"/>
      <c r="B42" s="38"/>
      <c r="C42" s="34">
        <v>8</v>
      </c>
      <c r="D42" s="41">
        <v>226.3</v>
      </c>
      <c r="F42" s="47"/>
      <c r="G42" s="48"/>
      <c r="H42" s="49"/>
      <c r="I42" s="50"/>
    </row>
    <row r="43" spans="1:9" ht="12.75" customHeight="1">
      <c r="A43" s="37"/>
      <c r="B43" s="38"/>
      <c r="C43" s="34">
        <v>12</v>
      </c>
      <c r="D43" s="41">
        <v>69.8</v>
      </c>
      <c r="F43" s="311" t="s">
        <v>1</v>
      </c>
      <c r="G43" s="311" t="s">
        <v>137</v>
      </c>
      <c r="H43" s="311" t="s">
        <v>138</v>
      </c>
      <c r="I43" s="318" t="s">
        <v>146</v>
      </c>
    </row>
    <row r="44" spans="1:9" ht="12.75">
      <c r="A44" s="37"/>
      <c r="B44" s="38"/>
      <c r="C44" s="34">
        <v>6</v>
      </c>
      <c r="D44" s="41">
        <v>22.9</v>
      </c>
      <c r="F44" s="311"/>
      <c r="G44" s="311"/>
      <c r="H44" s="311"/>
      <c r="I44" s="318"/>
    </row>
    <row r="45" spans="1:9" ht="12.75">
      <c r="A45" s="37">
        <v>13</v>
      </c>
      <c r="B45" s="38" t="s">
        <v>53</v>
      </c>
      <c r="C45" s="34">
        <v>22</v>
      </c>
      <c r="D45" s="41">
        <v>732.3</v>
      </c>
      <c r="F45" s="52"/>
      <c r="G45" s="53" t="s">
        <v>84</v>
      </c>
      <c r="H45" s="52"/>
      <c r="I45" s="52"/>
    </row>
    <row r="46" spans="1:9" ht="12.75">
      <c r="A46" s="37"/>
      <c r="B46" s="38"/>
      <c r="C46" s="34">
        <v>8</v>
      </c>
      <c r="D46" s="41">
        <v>106.8</v>
      </c>
      <c r="F46" s="41"/>
      <c r="G46" s="41" t="s">
        <v>233</v>
      </c>
      <c r="H46" s="41">
        <v>12</v>
      </c>
      <c r="I46" s="41">
        <v>21.1</v>
      </c>
    </row>
    <row r="47" spans="1:9" ht="12.75">
      <c r="A47" s="37"/>
      <c r="B47" s="38"/>
      <c r="C47" s="34">
        <v>12</v>
      </c>
      <c r="D47" s="41">
        <v>32.8</v>
      </c>
      <c r="F47" s="41"/>
      <c r="G47" s="41" t="s">
        <v>234</v>
      </c>
      <c r="H47" s="41">
        <v>6</v>
      </c>
      <c r="I47" s="41">
        <v>3.6</v>
      </c>
    </row>
    <row r="48" spans="1:9" ht="12.75">
      <c r="A48" s="37"/>
      <c r="B48" s="38"/>
      <c r="C48" s="34">
        <v>6</v>
      </c>
      <c r="D48" s="41">
        <v>10.7</v>
      </c>
      <c r="F48" s="41"/>
      <c r="G48" s="41" t="s">
        <v>235</v>
      </c>
      <c r="H48" s="41">
        <v>12</v>
      </c>
      <c r="I48" s="41">
        <v>20.8</v>
      </c>
    </row>
    <row r="49" spans="1:9" ht="12.75">
      <c r="A49" s="37">
        <v>14</v>
      </c>
      <c r="B49" s="38" t="s">
        <v>54</v>
      </c>
      <c r="C49" s="34">
        <v>22</v>
      </c>
      <c r="D49" s="41">
        <v>1058.8</v>
      </c>
      <c r="F49" s="41"/>
      <c r="G49" s="41" t="s">
        <v>236</v>
      </c>
      <c r="H49" s="41">
        <v>6</v>
      </c>
      <c r="I49" s="41">
        <v>3.6</v>
      </c>
    </row>
    <row r="50" spans="1:9" ht="12.75">
      <c r="A50" s="37"/>
      <c r="B50" s="38"/>
      <c r="C50" s="34">
        <v>8</v>
      </c>
      <c r="D50" s="41">
        <v>150.9</v>
      </c>
      <c r="F50" s="41"/>
      <c r="G50" s="41"/>
      <c r="H50" s="41"/>
      <c r="I50" s="41"/>
    </row>
    <row r="51" spans="1:9" ht="12.75">
      <c r="A51" s="37"/>
      <c r="B51" s="38"/>
      <c r="C51" s="34">
        <v>12</v>
      </c>
      <c r="D51" s="41">
        <v>47.9</v>
      </c>
      <c r="F51" s="41"/>
      <c r="G51" s="42" t="s">
        <v>131</v>
      </c>
      <c r="H51" s="159">
        <v>6</v>
      </c>
      <c r="I51" s="56">
        <f>+I47+I49</f>
        <v>7.2</v>
      </c>
    </row>
    <row r="52" spans="1:9" ht="12.75">
      <c r="A52" s="37"/>
      <c r="B52" s="38"/>
      <c r="C52" s="34">
        <v>6</v>
      </c>
      <c r="D52" s="41">
        <v>15.2</v>
      </c>
      <c r="F52" s="41"/>
      <c r="G52" s="38"/>
      <c r="H52" s="159">
        <v>12</v>
      </c>
      <c r="I52" s="161">
        <f>+I46+I48</f>
        <v>41.900000000000006</v>
      </c>
    </row>
    <row r="53" spans="1:9" ht="12.75">
      <c r="A53" s="37"/>
      <c r="B53" s="38" t="s">
        <v>55</v>
      </c>
      <c r="C53" s="34">
        <v>22</v>
      </c>
      <c r="D53" s="41">
        <v>131.1</v>
      </c>
      <c r="F53" s="46"/>
      <c r="G53" s="54"/>
      <c r="H53" s="162"/>
      <c r="I53" s="163"/>
    </row>
    <row r="54" spans="1:9" ht="12.75">
      <c r="A54" s="37"/>
      <c r="B54" s="38"/>
      <c r="C54" s="34">
        <v>8</v>
      </c>
      <c r="D54" s="41">
        <v>26.7</v>
      </c>
      <c r="F54" s="50"/>
      <c r="G54" s="50"/>
      <c r="H54" s="50"/>
      <c r="I54" s="50"/>
    </row>
    <row r="55" spans="1:4" ht="12.75">
      <c r="A55" s="37"/>
      <c r="B55" s="38"/>
      <c r="C55" s="34">
        <v>12</v>
      </c>
      <c r="D55" s="41">
        <v>8</v>
      </c>
    </row>
    <row r="56" spans="1:4" ht="12.75">
      <c r="A56" s="37"/>
      <c r="B56" s="38"/>
      <c r="C56" s="34">
        <v>6</v>
      </c>
      <c r="D56" s="41">
        <v>2.7</v>
      </c>
    </row>
    <row r="57" spans="1:9" s="30" customFormat="1" ht="12.75">
      <c r="A57" s="43"/>
      <c r="B57" s="42" t="s">
        <v>131</v>
      </c>
      <c r="C57" s="43">
        <v>6</v>
      </c>
      <c r="D57" s="161">
        <f>SUMIF($C$6:$C$56,C57,$D$6:$D$56)</f>
        <v>98.50000000000001</v>
      </c>
      <c r="F57" s="47"/>
      <c r="G57" s="48"/>
      <c r="H57" s="47"/>
      <c r="I57" s="51"/>
    </row>
    <row r="58" spans="1:9" s="30" customFormat="1" ht="12.75">
      <c r="A58" s="43"/>
      <c r="B58" s="42"/>
      <c r="C58" s="43">
        <v>8</v>
      </c>
      <c r="D58" s="161">
        <f>SUMIF($C$6:$C$56,C58,$D$6:$D$56)</f>
        <v>978.3000000000001</v>
      </c>
      <c r="F58" s="47"/>
      <c r="G58" s="48"/>
      <c r="H58" s="47"/>
      <c r="I58" s="51"/>
    </row>
    <row r="59" spans="1:9" s="30" customFormat="1" ht="12.75">
      <c r="A59" s="43"/>
      <c r="B59" s="42"/>
      <c r="C59" s="43">
        <v>10</v>
      </c>
      <c r="D59" s="161">
        <f>SUMIF($C$6:$C$56,C59,$D$6:$D$56)</f>
        <v>925.8999999999999</v>
      </c>
      <c r="F59" s="47"/>
      <c r="G59" s="48"/>
      <c r="H59" s="47"/>
      <c r="I59" s="51"/>
    </row>
    <row r="60" spans="1:9" s="30" customFormat="1" ht="12.75">
      <c r="A60" s="43"/>
      <c r="B60" s="42"/>
      <c r="C60" s="43">
        <v>12</v>
      </c>
      <c r="D60" s="161">
        <f>SUMIF($C$6:$C$56,C60,$D$6:$D$56)</f>
        <v>1738.7000000000003</v>
      </c>
      <c r="F60" s="47"/>
      <c r="G60" s="48"/>
      <c r="H60" s="47"/>
      <c r="I60" s="51"/>
    </row>
    <row r="61" spans="1:9" s="30" customFormat="1" ht="12.75">
      <c r="A61" s="43"/>
      <c r="B61" s="42"/>
      <c r="C61" s="43">
        <v>22</v>
      </c>
      <c r="D61" s="161">
        <f>SUMIF($C$6:$C$56,C61,$D$6:$D$56)</f>
        <v>5622.400000000001</v>
      </c>
      <c r="F61" s="47"/>
      <c r="G61" s="48"/>
      <c r="H61" s="47"/>
      <c r="I61" s="51"/>
    </row>
    <row r="62" spans="1:9" ht="12.75">
      <c r="A62" s="44"/>
      <c r="B62" s="45"/>
      <c r="C62" s="44"/>
      <c r="D62" s="46"/>
      <c r="F62" s="47"/>
      <c r="G62" s="48"/>
      <c r="H62" s="47"/>
      <c r="I62" s="50"/>
    </row>
    <row r="64" spans="1:9" ht="12.75">
      <c r="A64" s="316"/>
      <c r="B64" s="316"/>
      <c r="C64" s="316"/>
      <c r="D64" s="317"/>
      <c r="E64" s="50"/>
      <c r="F64" s="316"/>
      <c r="G64" s="316"/>
      <c r="H64" s="316"/>
      <c r="I64" s="317"/>
    </row>
    <row r="65" spans="1:9" ht="12.75">
      <c r="A65" s="316"/>
      <c r="B65" s="316"/>
      <c r="C65" s="316"/>
      <c r="D65" s="317"/>
      <c r="E65" s="50"/>
      <c r="F65" s="316"/>
      <c r="G65" s="316"/>
      <c r="H65" s="316"/>
      <c r="I65" s="317"/>
    </row>
    <row r="66" spans="1:9" ht="12.75">
      <c r="A66" s="50"/>
      <c r="B66" s="175"/>
      <c r="C66" s="50"/>
      <c r="D66" s="50"/>
      <c r="E66" s="50"/>
      <c r="F66" s="176"/>
      <c r="G66" s="50"/>
      <c r="H66" s="50"/>
      <c r="I66" s="50"/>
    </row>
    <row r="67" spans="1:9" ht="12.75">
      <c r="A67" s="50"/>
      <c r="B67" s="48"/>
      <c r="C67" s="50"/>
      <c r="D67" s="50"/>
      <c r="E67" s="50"/>
      <c r="F67" s="50"/>
      <c r="G67" s="50"/>
      <c r="H67" s="50"/>
      <c r="I67" s="50"/>
    </row>
    <row r="68" spans="1:9" ht="12.75">
      <c r="A68" s="50"/>
      <c r="B68" s="48"/>
      <c r="C68" s="50"/>
      <c r="D68" s="50"/>
      <c r="E68" s="50"/>
      <c r="F68" s="50"/>
      <c r="G68" s="50"/>
      <c r="H68" s="50"/>
      <c r="I68" s="50"/>
    </row>
    <row r="69" spans="1:9" ht="12.75">
      <c r="A69" s="50"/>
      <c r="B69" s="48"/>
      <c r="C69" s="50"/>
      <c r="D69" s="50"/>
      <c r="E69" s="50"/>
      <c r="F69" s="50"/>
      <c r="G69" s="175"/>
      <c r="H69" s="50"/>
      <c r="I69" s="176"/>
    </row>
    <row r="70" spans="1:9" ht="12.75">
      <c r="A70" s="50"/>
      <c r="B70" s="48"/>
      <c r="C70" s="50"/>
      <c r="D70" s="50"/>
      <c r="E70" s="50"/>
      <c r="F70" s="50"/>
      <c r="G70" s="50"/>
      <c r="H70" s="50"/>
      <c r="I70" s="50"/>
    </row>
    <row r="71" spans="1:9" ht="12.75">
      <c r="A71" s="50"/>
      <c r="B71" s="48"/>
      <c r="C71" s="50"/>
      <c r="D71" s="50"/>
      <c r="E71" s="50"/>
      <c r="F71" s="50"/>
      <c r="G71" s="50"/>
      <c r="H71" s="50"/>
      <c r="I71" s="50"/>
    </row>
    <row r="72" spans="1:9" ht="12.75">
      <c r="A72" s="50"/>
      <c r="B72" s="48"/>
      <c r="C72" s="50"/>
      <c r="D72" s="50"/>
      <c r="E72" s="50"/>
      <c r="F72" s="50"/>
      <c r="G72" s="50"/>
      <c r="H72" s="50"/>
      <c r="I72" s="50"/>
    </row>
    <row r="73" spans="1:9" ht="12.75">
      <c r="A73" s="50"/>
      <c r="B73" s="48"/>
      <c r="C73" s="50"/>
      <c r="D73" s="50"/>
      <c r="E73" s="50"/>
      <c r="F73" s="50"/>
      <c r="G73" s="50"/>
      <c r="H73" s="50"/>
      <c r="I73" s="50"/>
    </row>
    <row r="74" spans="1:9" ht="12.75">
      <c r="A74" s="50"/>
      <c r="B74" s="48"/>
      <c r="C74" s="50"/>
      <c r="D74" s="50"/>
      <c r="E74" s="50"/>
      <c r="F74" s="50"/>
      <c r="G74" s="50"/>
      <c r="H74" s="50"/>
      <c r="I74" s="50"/>
    </row>
    <row r="75" spans="1:9" ht="12.75">
      <c r="A75" s="50"/>
      <c r="B75" s="48"/>
      <c r="C75" s="50"/>
      <c r="D75" s="50"/>
      <c r="E75" s="50"/>
      <c r="F75" s="50"/>
      <c r="G75" s="50"/>
      <c r="H75" s="50"/>
      <c r="I75" s="50"/>
    </row>
    <row r="76" spans="1:9" ht="12.75">
      <c r="A76" s="50"/>
      <c r="B76" s="48"/>
      <c r="C76" s="50"/>
      <c r="D76" s="50"/>
      <c r="E76" s="50"/>
      <c r="F76" s="50"/>
      <c r="G76" s="50"/>
      <c r="H76" s="50"/>
      <c r="I76" s="50"/>
    </row>
    <row r="77" spans="1:9" ht="12.75">
      <c r="A77" s="50"/>
      <c r="B77" s="48"/>
      <c r="C77" s="50"/>
      <c r="D77" s="50"/>
      <c r="E77" s="50"/>
      <c r="F77" s="50"/>
      <c r="G77" s="50"/>
      <c r="H77" s="50"/>
      <c r="I77" s="50"/>
    </row>
    <row r="78" spans="1:9" ht="12.75">
      <c r="A78" s="50"/>
      <c r="B78" s="48"/>
      <c r="C78" s="50"/>
      <c r="D78" s="50"/>
      <c r="E78" s="50"/>
      <c r="F78" s="50"/>
      <c r="G78" s="50"/>
      <c r="H78" s="50"/>
      <c r="I78" s="50"/>
    </row>
    <row r="79" spans="1:9" ht="12.75">
      <c r="A79" s="50"/>
      <c r="B79" s="48"/>
      <c r="C79" s="50"/>
      <c r="D79" s="50"/>
      <c r="E79" s="50"/>
      <c r="F79" s="50"/>
      <c r="G79" s="50"/>
      <c r="H79" s="50"/>
      <c r="I79" s="50"/>
    </row>
    <row r="80" spans="1:9" ht="12.75">
      <c r="A80" s="50"/>
      <c r="B80" s="48"/>
      <c r="C80" s="50"/>
      <c r="D80" s="50"/>
      <c r="E80" s="50"/>
      <c r="F80" s="50"/>
      <c r="G80" s="50"/>
      <c r="H80" s="50"/>
      <c r="I80" s="50"/>
    </row>
    <row r="81" spans="1:9" ht="12.75">
      <c r="A81" s="50"/>
      <c r="B81" s="48"/>
      <c r="C81" s="50"/>
      <c r="D81" s="50"/>
      <c r="E81" s="50"/>
      <c r="F81" s="50"/>
      <c r="G81" s="50"/>
      <c r="H81" s="50"/>
      <c r="I81" s="50"/>
    </row>
    <row r="82" spans="1:9" ht="12.75">
      <c r="A82" s="50"/>
      <c r="B82" s="48"/>
      <c r="C82" s="50"/>
      <c r="D82" s="50"/>
      <c r="E82" s="50"/>
      <c r="F82" s="50"/>
      <c r="G82" s="50"/>
      <c r="H82" s="50"/>
      <c r="I82" s="50"/>
    </row>
    <row r="83" spans="1:9" ht="12.75">
      <c r="A83" s="50"/>
      <c r="B83" s="48"/>
      <c r="C83" s="50"/>
      <c r="D83" s="50"/>
      <c r="E83" s="50"/>
      <c r="F83" s="50"/>
      <c r="G83" s="50"/>
      <c r="H83" s="50"/>
      <c r="I83" s="50"/>
    </row>
    <row r="84" spans="1:9" ht="12.75">
      <c r="A84" s="50"/>
      <c r="B84" s="48"/>
      <c r="C84" s="50"/>
      <c r="D84" s="50"/>
      <c r="E84" s="50"/>
      <c r="F84" s="50"/>
      <c r="G84" s="50"/>
      <c r="H84" s="50"/>
      <c r="I84" s="50"/>
    </row>
    <row r="85" spans="1:9" ht="12.75">
      <c r="A85" s="50"/>
      <c r="B85" s="48"/>
      <c r="C85" s="50"/>
      <c r="D85" s="50"/>
      <c r="E85" s="50"/>
      <c r="F85" s="50"/>
      <c r="G85" s="50"/>
      <c r="H85" s="50"/>
      <c r="I85" s="50"/>
    </row>
    <row r="86" spans="1:9" ht="12.75">
      <c r="A86" s="50"/>
      <c r="B86" s="48"/>
      <c r="C86" s="50"/>
      <c r="D86" s="50"/>
      <c r="E86" s="50"/>
      <c r="F86" s="50"/>
      <c r="G86" s="50"/>
      <c r="H86" s="50"/>
      <c r="I86" s="50"/>
    </row>
    <row r="87" spans="1:9" ht="12.75">
      <c r="A87" s="50"/>
      <c r="B87" s="48"/>
      <c r="C87" s="50"/>
      <c r="D87" s="50"/>
      <c r="E87" s="50"/>
      <c r="F87" s="50"/>
      <c r="G87" s="50"/>
      <c r="H87" s="50"/>
      <c r="I87" s="50"/>
    </row>
    <row r="88" spans="1:9" ht="12.75">
      <c r="A88" s="50"/>
      <c r="B88" s="48"/>
      <c r="C88" s="50"/>
      <c r="D88" s="50"/>
      <c r="E88" s="50"/>
      <c r="F88" s="50"/>
      <c r="G88" s="50"/>
      <c r="H88" s="50"/>
      <c r="I88" s="50"/>
    </row>
    <row r="89" spans="1:9" ht="12.75">
      <c r="A89" s="50"/>
      <c r="B89" s="48"/>
      <c r="C89" s="50"/>
      <c r="D89" s="50"/>
      <c r="E89" s="50"/>
      <c r="F89" s="50"/>
      <c r="G89" s="50"/>
      <c r="H89" s="50"/>
      <c r="I89" s="50"/>
    </row>
    <row r="90" spans="1:9" ht="12.75">
      <c r="A90" s="50"/>
      <c r="B90" s="48"/>
      <c r="C90" s="50"/>
      <c r="D90" s="50"/>
      <c r="E90" s="50"/>
      <c r="F90" s="50"/>
      <c r="G90" s="50"/>
      <c r="H90" s="50"/>
      <c r="I90" s="50"/>
    </row>
    <row r="91" spans="1:9" ht="12.75">
      <c r="A91" s="50"/>
      <c r="B91" s="175"/>
      <c r="C91" s="176"/>
      <c r="D91" s="176"/>
      <c r="E91" s="50"/>
      <c r="F91" s="50"/>
      <c r="G91" s="50"/>
      <c r="H91" s="50"/>
      <c r="I91" s="50"/>
    </row>
    <row r="92" spans="1:9" ht="12.75">
      <c r="A92" s="50"/>
      <c r="B92" s="175"/>
      <c r="C92" s="176"/>
      <c r="D92" s="176"/>
      <c r="E92" s="50"/>
      <c r="F92" s="50"/>
      <c r="G92" s="50"/>
      <c r="H92" s="50"/>
      <c r="I92" s="50"/>
    </row>
    <row r="93" spans="1:9" ht="12.75">
      <c r="A93" s="50"/>
      <c r="B93" s="175"/>
      <c r="C93" s="176"/>
      <c r="D93" s="176"/>
      <c r="E93" s="50"/>
      <c r="F93" s="50"/>
      <c r="G93" s="50"/>
      <c r="H93" s="50"/>
      <c r="I93" s="50"/>
    </row>
    <row r="94" spans="1:9" ht="12.75">
      <c r="A94" s="50"/>
      <c r="B94" s="175"/>
      <c r="C94" s="176"/>
      <c r="D94" s="176"/>
      <c r="E94" s="50"/>
      <c r="F94" s="50"/>
      <c r="G94" s="50"/>
      <c r="H94" s="50"/>
      <c r="I94" s="50"/>
    </row>
  </sheetData>
  <sheetProtection/>
  <mergeCells count="22">
    <mergeCell ref="I43:I44"/>
    <mergeCell ref="I64:I65"/>
    <mergeCell ref="F64:F65"/>
    <mergeCell ref="G64:G65"/>
    <mergeCell ref="H64:H65"/>
    <mergeCell ref="F43:F44"/>
    <mergeCell ref="H43:H44"/>
    <mergeCell ref="G5:H5"/>
    <mergeCell ref="G43:G44"/>
    <mergeCell ref="A64:A65"/>
    <mergeCell ref="B64:B65"/>
    <mergeCell ref="C64:C65"/>
    <mergeCell ref="D64:D65"/>
    <mergeCell ref="A1:I1"/>
    <mergeCell ref="D3:D4"/>
    <mergeCell ref="A3:A4"/>
    <mergeCell ref="B3:B4"/>
    <mergeCell ref="C3:C4"/>
    <mergeCell ref="I3:I4"/>
    <mergeCell ref="F3:F4"/>
    <mergeCell ref="G3:G4"/>
    <mergeCell ref="H3:H4"/>
  </mergeCells>
  <printOptions/>
  <pageMargins left="0.98" right="0.23" top="0.38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82"/>
  <sheetViews>
    <sheetView tabSelected="1" zoomScaleSheetLayoutView="10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7" sqref="N27"/>
    </sheetView>
  </sheetViews>
  <sheetFormatPr defaultColWidth="9.140625" defaultRowHeight="12.75"/>
  <cols>
    <col min="1" max="1" width="6.140625" style="197" customWidth="1"/>
    <col min="2" max="2" width="49.8515625" style="189" customWidth="1"/>
    <col min="3" max="3" width="6.57421875" style="197" customWidth="1"/>
    <col min="4" max="4" width="9.140625" style="198" customWidth="1"/>
    <col min="5" max="5" width="7.57421875" style="198" bestFit="1" customWidth="1"/>
    <col min="6" max="6" width="9.8515625" style="198" bestFit="1" customWidth="1"/>
    <col min="7" max="9" width="8.00390625" style="198" customWidth="1"/>
    <col min="10" max="10" width="9.57421875" style="335" bestFit="1" customWidth="1"/>
    <col min="11" max="12" width="9.57421875" style="335" customWidth="1"/>
    <col min="13" max="15" width="12.28125" style="335" customWidth="1"/>
    <col min="16" max="16" width="11.00390625" style="189" customWidth="1"/>
    <col min="17" max="17" width="0" style="189" hidden="1" customWidth="1"/>
    <col min="18" max="16384" width="9.140625" style="189" customWidth="1"/>
  </cols>
  <sheetData>
    <row r="1" spans="1:15" ht="16.5">
      <c r="A1" s="284" t="s">
        <v>354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328"/>
      <c r="O1" s="328"/>
    </row>
    <row r="2" ht="15"/>
    <row r="3" spans="1:19" ht="15">
      <c r="A3" s="275" t="s">
        <v>1</v>
      </c>
      <c r="B3" s="277" t="s">
        <v>137</v>
      </c>
      <c r="C3" s="269" t="s">
        <v>2</v>
      </c>
      <c r="D3" s="319" t="s">
        <v>353</v>
      </c>
      <c r="E3" s="319"/>
      <c r="F3" s="319"/>
      <c r="G3" s="319" t="s">
        <v>368</v>
      </c>
      <c r="H3" s="319"/>
      <c r="I3" s="319"/>
      <c r="J3" s="329" t="s">
        <v>367</v>
      </c>
      <c r="K3" s="330"/>
      <c r="L3" s="331"/>
      <c r="M3" s="329" t="s">
        <v>366</v>
      </c>
      <c r="N3" s="330"/>
      <c r="O3" s="331"/>
      <c r="P3" s="273" t="s">
        <v>355</v>
      </c>
      <c r="R3" s="273" t="s">
        <v>358</v>
      </c>
      <c r="S3" s="273" t="s">
        <v>359</v>
      </c>
    </row>
    <row r="4" spans="1:19" ht="15">
      <c r="A4" s="276"/>
      <c r="B4" s="278"/>
      <c r="C4" s="269"/>
      <c r="D4" s="178" t="s">
        <v>277</v>
      </c>
      <c r="E4" s="178" t="s">
        <v>278</v>
      </c>
      <c r="F4" s="178" t="s">
        <v>279</v>
      </c>
      <c r="G4" s="178">
        <v>0.1</v>
      </c>
      <c r="H4" s="178">
        <v>0.12</v>
      </c>
      <c r="I4" s="178">
        <v>0.17</v>
      </c>
      <c r="J4" s="332" t="s">
        <v>363</v>
      </c>
      <c r="K4" s="332" t="s">
        <v>364</v>
      </c>
      <c r="L4" s="332" t="s">
        <v>365</v>
      </c>
      <c r="M4" s="332" t="s">
        <v>363</v>
      </c>
      <c r="N4" s="332" t="s">
        <v>364</v>
      </c>
      <c r="O4" s="332" t="s">
        <v>365</v>
      </c>
      <c r="P4" s="273" t="s">
        <v>301</v>
      </c>
      <c r="R4" s="273" t="s">
        <v>301</v>
      </c>
      <c r="S4" s="273" t="s">
        <v>301</v>
      </c>
    </row>
    <row r="5" spans="1:19" ht="15">
      <c r="A5" s="265"/>
      <c r="B5" s="336"/>
      <c r="C5" s="337"/>
      <c r="D5" s="338"/>
      <c r="E5" s="338"/>
      <c r="F5" s="338"/>
      <c r="G5" s="338"/>
      <c r="H5" s="338"/>
      <c r="I5" s="338"/>
      <c r="J5" s="339">
        <f>SUM(J8:J81)</f>
        <v>6.621991199999999</v>
      </c>
      <c r="K5" s="339">
        <f>SUM(K8:K81)</f>
        <v>5.9909099999999995</v>
      </c>
      <c r="L5" s="339">
        <f>SUM(L8:L81)</f>
        <v>0</v>
      </c>
      <c r="M5" s="339">
        <f>SUM(M8:M81)</f>
        <v>120.39984000000001</v>
      </c>
      <c r="N5" s="339">
        <f>SUM(N8:N81)</f>
        <v>40.57999999999999</v>
      </c>
      <c r="O5" s="339">
        <f>SUM(O8:O81)</f>
        <v>0</v>
      </c>
      <c r="P5" s="320"/>
      <c r="R5" s="321"/>
      <c r="S5" s="321"/>
    </row>
    <row r="6" spans="1:19" s="272" customFormat="1" ht="15">
      <c r="A6" s="221">
        <v>1</v>
      </c>
      <c r="B6" s="325" t="s">
        <v>373</v>
      </c>
      <c r="C6" s="323"/>
      <c r="D6" s="324"/>
      <c r="E6" s="324"/>
      <c r="F6" s="324"/>
      <c r="G6" s="324"/>
      <c r="H6" s="324"/>
      <c r="I6" s="324"/>
      <c r="J6" s="322"/>
      <c r="K6" s="322"/>
      <c r="L6" s="322"/>
      <c r="M6" s="322"/>
      <c r="N6" s="322"/>
      <c r="O6" s="322"/>
      <c r="P6" s="188" t="e">
        <f>(#REF!+#REF!)*2/3</f>
        <v>#REF!</v>
      </c>
      <c r="R6" s="272" t="e">
        <f>P6</f>
        <v>#REF!</v>
      </c>
      <c r="S6" s="272" t="e">
        <f>P6</f>
        <v>#REF!</v>
      </c>
    </row>
    <row r="7" spans="1:16" s="272" customFormat="1" ht="15">
      <c r="A7" s="270"/>
      <c r="B7" s="184" t="s">
        <v>218</v>
      </c>
      <c r="C7" s="270"/>
      <c r="D7" s="271"/>
      <c r="E7" s="271"/>
      <c r="F7" s="271"/>
      <c r="G7" s="271"/>
      <c r="H7" s="271"/>
      <c r="I7" s="271"/>
      <c r="J7" s="333"/>
      <c r="K7" s="333"/>
      <c r="L7" s="333"/>
      <c r="M7" s="333"/>
      <c r="N7" s="333"/>
      <c r="O7" s="333"/>
      <c r="P7" s="188"/>
    </row>
    <row r="8" spans="1:17" ht="15">
      <c r="A8" s="196"/>
      <c r="B8" s="254" t="s">
        <v>78</v>
      </c>
      <c r="C8" s="196">
        <v>1</v>
      </c>
      <c r="D8" s="186">
        <v>0.22</v>
      </c>
      <c r="E8" s="186">
        <v>0.22</v>
      </c>
      <c r="F8" s="186">
        <f>3.55-0.05</f>
        <v>3.5</v>
      </c>
      <c r="G8" s="186"/>
      <c r="H8" s="186"/>
      <c r="I8" s="186"/>
      <c r="J8" s="228">
        <f>PRODUCT(C8:F8)</f>
        <v>0.1694</v>
      </c>
      <c r="K8" s="228"/>
      <c r="L8" s="228"/>
      <c r="M8" s="228">
        <f>PRODUCT(C8,(D8+E8)*2,F8)</f>
        <v>3.08</v>
      </c>
      <c r="N8" s="228"/>
      <c r="O8" s="228"/>
      <c r="P8" s="254"/>
      <c r="Q8" s="189">
        <f>+C8*D8*E8*14.75</f>
        <v>0.7139</v>
      </c>
    </row>
    <row r="9" spans="1:17" ht="15">
      <c r="A9" s="196"/>
      <c r="B9" s="254" t="s">
        <v>369</v>
      </c>
      <c r="C9" s="196">
        <v>1</v>
      </c>
      <c r="D9" s="186">
        <v>0.22</v>
      </c>
      <c r="E9" s="186">
        <v>0.22</v>
      </c>
      <c r="F9" s="186">
        <f>3.55+0.4</f>
        <v>3.9499999999999997</v>
      </c>
      <c r="G9" s="186"/>
      <c r="H9" s="186"/>
      <c r="I9" s="186"/>
      <c r="J9" s="228">
        <f>PRODUCT(C9:F9)</f>
        <v>0.19118</v>
      </c>
      <c r="K9" s="228"/>
      <c r="L9" s="228"/>
      <c r="M9" s="228">
        <f>PRODUCT(C9,(D9+E9)*2,F9)</f>
        <v>3.476</v>
      </c>
      <c r="N9" s="228"/>
      <c r="O9" s="228"/>
      <c r="P9" s="254"/>
      <c r="Q9" s="189">
        <f>+C9*D9*E9*16.05</f>
        <v>0.7768200000000001</v>
      </c>
    </row>
    <row r="10" spans="1:17" ht="15">
      <c r="A10" s="196"/>
      <c r="B10" s="254" t="s">
        <v>370</v>
      </c>
      <c r="C10" s="196">
        <v>3</v>
      </c>
      <c r="D10" s="186">
        <v>0.22</v>
      </c>
      <c r="E10" s="186">
        <v>0.22</v>
      </c>
      <c r="F10" s="186">
        <f>3.55+0.05</f>
        <v>3.5999999999999996</v>
      </c>
      <c r="G10" s="186"/>
      <c r="H10" s="186"/>
      <c r="I10" s="186"/>
      <c r="J10" s="228">
        <f>PRODUCT(C10:F10)</f>
        <v>0.52272</v>
      </c>
      <c r="K10" s="228"/>
      <c r="L10" s="228"/>
      <c r="M10" s="228">
        <f>PRODUCT(C10,(D10+E10)*2,F10)</f>
        <v>9.504</v>
      </c>
      <c r="N10" s="228"/>
      <c r="O10" s="228"/>
      <c r="P10" s="254"/>
      <c r="Q10" s="189">
        <f>+C10*D10*E10*16.05</f>
        <v>2.33046</v>
      </c>
    </row>
    <row r="11" spans="1:17" ht="15">
      <c r="A11" s="196"/>
      <c r="B11" s="254" t="s">
        <v>371</v>
      </c>
      <c r="C11" s="196">
        <v>4</v>
      </c>
      <c r="D11" s="186">
        <v>0.22</v>
      </c>
      <c r="E11" s="186">
        <v>0.22</v>
      </c>
      <c r="F11" s="186">
        <f>3.55-0.05</f>
        <v>3.5</v>
      </c>
      <c r="G11" s="186"/>
      <c r="H11" s="186"/>
      <c r="I11" s="186"/>
      <c r="J11" s="228">
        <f>PRODUCT(C11:F11)</f>
        <v>0.6776</v>
      </c>
      <c r="K11" s="228"/>
      <c r="L11" s="228"/>
      <c r="M11" s="228">
        <f>PRODUCT(C11,(D11+E11)*2,F11)</f>
        <v>12.32</v>
      </c>
      <c r="N11" s="228"/>
      <c r="O11" s="228"/>
      <c r="P11" s="254"/>
      <c r="Q11" s="189">
        <f>+C11*D11*E11*16.05</f>
        <v>3.1072800000000003</v>
      </c>
    </row>
    <row r="12" spans="1:17" ht="15">
      <c r="A12" s="196"/>
      <c r="B12" s="254" t="s">
        <v>70</v>
      </c>
      <c r="C12" s="196">
        <v>4</v>
      </c>
      <c r="D12" s="186">
        <v>0.22</v>
      </c>
      <c r="E12" s="186">
        <v>0.22</v>
      </c>
      <c r="F12" s="186">
        <f>3.55-0.05</f>
        <v>3.5</v>
      </c>
      <c r="G12" s="186"/>
      <c r="H12" s="186"/>
      <c r="I12" s="186"/>
      <c r="J12" s="228">
        <f>PRODUCT(C12:F12)</f>
        <v>0.6776</v>
      </c>
      <c r="K12" s="228"/>
      <c r="L12" s="228"/>
      <c r="M12" s="228">
        <f>PRODUCT(C12,(D12+E12)*2,F12)</f>
        <v>12.32</v>
      </c>
      <c r="N12" s="228"/>
      <c r="O12" s="228"/>
      <c r="P12" s="254"/>
      <c r="Q12" s="189">
        <f>+C12*D12*E12*F12</f>
        <v>0.6776</v>
      </c>
    </row>
    <row r="13" spans="1:16" ht="15">
      <c r="A13" s="196"/>
      <c r="B13" s="184" t="s">
        <v>356</v>
      </c>
      <c r="C13" s="196"/>
      <c r="D13" s="186"/>
      <c r="E13" s="186"/>
      <c r="F13" s="186"/>
      <c r="G13" s="186"/>
      <c r="H13" s="186"/>
      <c r="I13" s="186"/>
      <c r="J13" s="228"/>
      <c r="K13" s="228"/>
      <c r="L13" s="228"/>
      <c r="M13" s="228"/>
      <c r="N13" s="228"/>
      <c r="O13" s="228"/>
      <c r="P13" s="254"/>
    </row>
    <row r="14" spans="1:16" ht="15">
      <c r="A14" s="196"/>
      <c r="B14" s="254" t="s">
        <v>78</v>
      </c>
      <c r="C14" s="196">
        <v>1</v>
      </c>
      <c r="D14" s="186">
        <v>0.22</v>
      </c>
      <c r="E14" s="186">
        <v>0.22</v>
      </c>
      <c r="F14" s="186">
        <v>3.3</v>
      </c>
      <c r="G14" s="186"/>
      <c r="H14" s="186"/>
      <c r="I14" s="186"/>
      <c r="J14" s="228">
        <f>PRODUCT(C14:F14)</f>
        <v>0.15971999999999997</v>
      </c>
      <c r="K14" s="228"/>
      <c r="L14" s="228"/>
      <c r="M14" s="228">
        <f>PRODUCT(C14,(D14+E14)*2,F14)</f>
        <v>2.904</v>
      </c>
      <c r="N14" s="228"/>
      <c r="O14" s="228"/>
      <c r="P14" s="254"/>
    </row>
    <row r="15" spans="1:16" ht="15">
      <c r="A15" s="196"/>
      <c r="B15" s="254" t="s">
        <v>71</v>
      </c>
      <c r="C15" s="196">
        <v>8</v>
      </c>
      <c r="D15" s="186">
        <v>0.22</v>
      </c>
      <c r="E15" s="186">
        <v>0.22</v>
      </c>
      <c r="F15" s="186">
        <v>3.3</v>
      </c>
      <c r="G15" s="186"/>
      <c r="H15" s="186"/>
      <c r="I15" s="186"/>
      <c r="J15" s="228">
        <f>PRODUCT(C15:F15)</f>
        <v>1.2777599999999998</v>
      </c>
      <c r="K15" s="228"/>
      <c r="L15" s="228"/>
      <c r="M15" s="228">
        <f>PRODUCT(C15,(D15+E15)*2,F15)</f>
        <v>23.232</v>
      </c>
      <c r="N15" s="228"/>
      <c r="O15" s="228"/>
      <c r="P15" s="254"/>
    </row>
    <row r="16" spans="1:16" ht="15">
      <c r="A16" s="196"/>
      <c r="B16" s="254" t="s">
        <v>70</v>
      </c>
      <c r="C16" s="196">
        <v>4</v>
      </c>
      <c r="D16" s="186">
        <v>0.22</v>
      </c>
      <c r="E16" s="186">
        <v>0.22</v>
      </c>
      <c r="F16" s="186">
        <v>3.3</v>
      </c>
      <c r="G16" s="186"/>
      <c r="H16" s="186"/>
      <c r="I16" s="186"/>
      <c r="J16" s="228">
        <f>PRODUCT(C16:F16)</f>
        <v>0.6388799999999999</v>
      </c>
      <c r="K16" s="228"/>
      <c r="L16" s="228"/>
      <c r="M16" s="228">
        <f>PRODUCT(C16,(D16+E16)*2,F16)</f>
        <v>11.616</v>
      </c>
      <c r="N16" s="228"/>
      <c r="O16" s="228"/>
      <c r="P16" s="254"/>
    </row>
    <row r="17" spans="1:16" ht="15">
      <c r="A17" s="196"/>
      <c r="B17" s="184" t="s">
        <v>357</v>
      </c>
      <c r="C17" s="196"/>
      <c r="D17" s="186"/>
      <c r="E17" s="186"/>
      <c r="F17" s="186"/>
      <c r="G17" s="186"/>
      <c r="H17" s="186"/>
      <c r="I17" s="186"/>
      <c r="J17" s="228"/>
      <c r="K17" s="228"/>
      <c r="L17" s="228"/>
      <c r="M17" s="228"/>
      <c r="N17" s="228"/>
      <c r="O17" s="228"/>
      <c r="P17" s="254"/>
    </row>
    <row r="18" spans="1:16" ht="15">
      <c r="A18" s="196"/>
      <c r="B18" s="254" t="s">
        <v>78</v>
      </c>
      <c r="C18" s="196">
        <v>1</v>
      </c>
      <c r="D18" s="186">
        <v>0.22</v>
      </c>
      <c r="E18" s="186">
        <v>0.22</v>
      </c>
      <c r="F18" s="186">
        <v>3</v>
      </c>
      <c r="G18" s="186"/>
      <c r="H18" s="186"/>
      <c r="I18" s="186"/>
      <c r="J18" s="228">
        <f>PRODUCT(C18:F18)</f>
        <v>0.1452</v>
      </c>
      <c r="K18" s="228"/>
      <c r="L18" s="228"/>
      <c r="M18" s="228">
        <f>PRODUCT(C18,(D18+E18)*2,F18)</f>
        <v>2.64</v>
      </c>
      <c r="N18" s="228"/>
      <c r="O18" s="228"/>
      <c r="P18" s="254"/>
    </row>
    <row r="19" spans="1:16" ht="15">
      <c r="A19" s="196"/>
      <c r="B19" s="254" t="s">
        <v>71</v>
      </c>
      <c r="C19" s="196">
        <v>8</v>
      </c>
      <c r="D19" s="186">
        <v>0.22</v>
      </c>
      <c r="E19" s="186">
        <v>0.22</v>
      </c>
      <c r="F19" s="186">
        <v>3</v>
      </c>
      <c r="G19" s="186"/>
      <c r="H19" s="186"/>
      <c r="I19" s="186"/>
      <c r="J19" s="228">
        <f>PRODUCT(C19:F19)</f>
        <v>1.1616</v>
      </c>
      <c r="K19" s="228"/>
      <c r="L19" s="228"/>
      <c r="M19" s="228">
        <f>PRODUCT(C19,(D19+E19)*2,F19)</f>
        <v>21.12</v>
      </c>
      <c r="N19" s="228"/>
      <c r="O19" s="228"/>
      <c r="P19" s="254"/>
    </row>
    <row r="20" spans="1:16" ht="15">
      <c r="A20" s="196"/>
      <c r="B20" s="254" t="s">
        <v>70</v>
      </c>
      <c r="C20" s="196">
        <v>4</v>
      </c>
      <c r="D20" s="186">
        <v>0.22</v>
      </c>
      <c r="E20" s="186">
        <v>0.22</v>
      </c>
      <c r="F20" s="186">
        <v>3</v>
      </c>
      <c r="G20" s="186"/>
      <c r="H20" s="186"/>
      <c r="I20" s="186"/>
      <c r="J20" s="228">
        <f>PRODUCT(C20:F20)</f>
        <v>0.5808</v>
      </c>
      <c r="K20" s="228"/>
      <c r="L20" s="228"/>
      <c r="M20" s="228">
        <f>PRODUCT(C20,(D20+E20)*2,F20)</f>
        <v>10.56</v>
      </c>
      <c r="N20" s="228"/>
      <c r="O20" s="228"/>
      <c r="P20" s="254"/>
    </row>
    <row r="21" spans="1:16" ht="15">
      <c r="A21" s="196"/>
      <c r="B21" s="184" t="s">
        <v>372</v>
      </c>
      <c r="C21" s="196"/>
      <c r="D21" s="186"/>
      <c r="E21" s="186"/>
      <c r="F21" s="186"/>
      <c r="G21" s="186"/>
      <c r="H21" s="186"/>
      <c r="I21" s="186"/>
      <c r="J21" s="228"/>
      <c r="K21" s="228"/>
      <c r="L21" s="228"/>
      <c r="M21" s="228"/>
      <c r="N21" s="228"/>
      <c r="O21" s="228"/>
      <c r="P21" s="254"/>
    </row>
    <row r="22" spans="1:16" ht="15">
      <c r="A22" s="196"/>
      <c r="B22" s="254" t="s">
        <v>71</v>
      </c>
      <c r="C22" s="196">
        <v>8</v>
      </c>
      <c r="D22" s="186">
        <v>0.22</v>
      </c>
      <c r="E22" s="186">
        <v>0.22</v>
      </c>
      <c r="F22" s="186">
        <v>0.509</v>
      </c>
      <c r="G22" s="186"/>
      <c r="H22" s="186"/>
      <c r="I22" s="186"/>
      <c r="J22" s="228">
        <f>PRODUCT(C22:F22)</f>
        <v>0.1970848</v>
      </c>
      <c r="K22" s="228"/>
      <c r="L22" s="228"/>
      <c r="M22" s="228">
        <f>PRODUCT(C22,(D22+E22)*2,F22)</f>
        <v>3.58336</v>
      </c>
      <c r="N22" s="228"/>
      <c r="O22" s="228"/>
      <c r="P22" s="254"/>
    </row>
    <row r="23" spans="1:16" ht="15">
      <c r="A23" s="196"/>
      <c r="B23" s="254" t="s">
        <v>70</v>
      </c>
      <c r="C23" s="196">
        <v>4</v>
      </c>
      <c r="D23" s="186">
        <v>0.22</v>
      </c>
      <c r="E23" s="186">
        <v>0.22</v>
      </c>
      <c r="F23" s="186">
        <v>1.149</v>
      </c>
      <c r="G23" s="186"/>
      <c r="H23" s="186"/>
      <c r="I23" s="186"/>
      <c r="J23" s="228">
        <f>PRODUCT(C23:F23)</f>
        <v>0.2224464</v>
      </c>
      <c r="K23" s="228"/>
      <c r="L23" s="228"/>
      <c r="M23" s="228">
        <f>PRODUCT(C23,(D23+E23)*2,F23)</f>
        <v>4.04448</v>
      </c>
      <c r="N23" s="228"/>
      <c r="O23" s="228"/>
      <c r="P23" s="254"/>
    </row>
    <row r="24" spans="1:16" s="187" customFormat="1" ht="14.25">
      <c r="A24" s="221">
        <v>2</v>
      </c>
      <c r="B24" s="326" t="s">
        <v>374</v>
      </c>
      <c r="C24" s="221"/>
      <c r="D24" s="224"/>
      <c r="E24" s="224"/>
      <c r="F24" s="224"/>
      <c r="G24" s="224"/>
      <c r="H24" s="224"/>
      <c r="I24" s="224"/>
      <c r="J24" s="229"/>
      <c r="K24" s="229"/>
      <c r="L24" s="229"/>
      <c r="M24" s="229"/>
      <c r="N24" s="229"/>
      <c r="O24" s="229"/>
      <c r="P24" s="327"/>
    </row>
    <row r="25" spans="1:16" ht="15">
      <c r="A25" s="196"/>
      <c r="B25" s="184" t="s">
        <v>375</v>
      </c>
      <c r="C25" s="196"/>
      <c r="D25" s="186"/>
      <c r="E25" s="186"/>
      <c r="F25" s="186"/>
      <c r="G25" s="186"/>
      <c r="H25" s="186"/>
      <c r="I25" s="186"/>
      <c r="J25" s="228"/>
      <c r="K25" s="228"/>
      <c r="L25" s="228"/>
      <c r="M25" s="228"/>
      <c r="N25" s="228"/>
      <c r="O25" s="228"/>
      <c r="P25" s="254"/>
    </row>
    <row r="26" spans="1:16" ht="15">
      <c r="A26" s="196"/>
      <c r="B26" s="254" t="s">
        <v>376</v>
      </c>
      <c r="C26" s="196">
        <v>1</v>
      </c>
      <c r="D26" s="186">
        <f>6.5-0.22</f>
        <v>6.28</v>
      </c>
      <c r="E26" s="186">
        <v>0.22</v>
      </c>
      <c r="F26" s="186">
        <v>0.35</v>
      </c>
      <c r="G26" s="186">
        <v>1</v>
      </c>
      <c r="H26" s="186"/>
      <c r="I26" s="186"/>
      <c r="J26" s="228"/>
      <c r="K26" s="228">
        <f>PRODUCT(C26:E26,F26-G26*G4-H26*H4-I26*I4,)</f>
        <v>0.3454</v>
      </c>
      <c r="L26" s="228"/>
      <c r="M26" s="228"/>
      <c r="N26" s="228">
        <f>PRODUCT(C26:D26,2*(F26-G26*$G$4-H26*$H$4-I26*$I$4))</f>
        <v>3.1399999999999997</v>
      </c>
      <c r="O26" s="228"/>
      <c r="P26" s="254"/>
    </row>
    <row r="27" spans="1:16" s="187" customFormat="1" ht="15">
      <c r="A27" s="183"/>
      <c r="B27" s="254" t="s">
        <v>377</v>
      </c>
      <c r="C27" s="196">
        <v>1</v>
      </c>
      <c r="D27" s="186">
        <v>2.78</v>
      </c>
      <c r="E27" s="186">
        <v>0.15</v>
      </c>
      <c r="F27" s="186">
        <v>0.35</v>
      </c>
      <c r="G27" s="186">
        <v>1</v>
      </c>
      <c r="H27" s="186"/>
      <c r="I27" s="186"/>
      <c r="J27" s="334"/>
      <c r="K27" s="228">
        <f aca="true" t="shared" si="0" ref="K27:K40">PRODUCT(C27:E27,F27-G27*G6-H27*H6-I27*I6,)</f>
        <v>0.14595</v>
      </c>
      <c r="L27" s="334"/>
      <c r="M27" s="334"/>
      <c r="N27" s="228">
        <f aca="true" t="shared" si="1" ref="N27:N40">PRODUCT(C27:D27,2*(F27-G27*$G$4-H27*$H$4-I27*$I$4))</f>
        <v>1.3899999999999997</v>
      </c>
      <c r="O27" s="334"/>
      <c r="P27" s="184"/>
    </row>
    <row r="28" spans="1:16" ht="15">
      <c r="A28" s="196"/>
      <c r="B28" s="254" t="s">
        <v>378</v>
      </c>
      <c r="C28" s="196">
        <v>1</v>
      </c>
      <c r="D28" s="186">
        <v>3.98</v>
      </c>
      <c r="E28" s="186">
        <v>0.22</v>
      </c>
      <c r="F28" s="186">
        <v>0.35</v>
      </c>
      <c r="G28" s="186">
        <v>1</v>
      </c>
      <c r="H28" s="186"/>
      <c r="I28" s="186"/>
      <c r="J28" s="228"/>
      <c r="K28" s="228">
        <f t="shared" si="0"/>
        <v>0.30646</v>
      </c>
      <c r="L28" s="228"/>
      <c r="M28" s="228"/>
      <c r="N28" s="228">
        <f t="shared" si="1"/>
        <v>1.9899999999999998</v>
      </c>
      <c r="O28" s="228"/>
      <c r="P28" s="254"/>
    </row>
    <row r="29" spans="1:16" ht="15">
      <c r="A29" s="196"/>
      <c r="B29" s="254" t="s">
        <v>379</v>
      </c>
      <c r="C29" s="196">
        <v>1</v>
      </c>
      <c r="D29" s="186">
        <v>2.78</v>
      </c>
      <c r="E29" s="186">
        <v>0.22</v>
      </c>
      <c r="F29" s="186">
        <v>0.3</v>
      </c>
      <c r="G29" s="186">
        <v>1</v>
      </c>
      <c r="H29" s="186"/>
      <c r="I29" s="186"/>
      <c r="J29" s="228"/>
      <c r="K29" s="228">
        <f t="shared" si="0"/>
        <v>0.18347999999999998</v>
      </c>
      <c r="L29" s="228"/>
      <c r="M29" s="228"/>
      <c r="N29" s="228">
        <f t="shared" si="1"/>
        <v>1.1119999999999999</v>
      </c>
      <c r="O29" s="228"/>
      <c r="P29" s="254"/>
    </row>
    <row r="30" spans="1:16" s="187" customFormat="1" ht="15">
      <c r="A30" s="183"/>
      <c r="B30" s="254" t="s">
        <v>380</v>
      </c>
      <c r="C30" s="196">
        <v>1</v>
      </c>
      <c r="D30" s="186">
        <f>13.48-4*0.22</f>
        <v>12.6</v>
      </c>
      <c r="E30" s="186">
        <v>0.22</v>
      </c>
      <c r="F30" s="186">
        <v>0.35</v>
      </c>
      <c r="G30" s="186">
        <v>1</v>
      </c>
      <c r="H30" s="186"/>
      <c r="I30" s="186"/>
      <c r="J30" s="334"/>
      <c r="K30" s="228">
        <f t="shared" si="0"/>
        <v>0.9701999999999998</v>
      </c>
      <c r="L30" s="334"/>
      <c r="M30" s="334"/>
      <c r="N30" s="228">
        <f t="shared" si="1"/>
        <v>6.299999999999999</v>
      </c>
      <c r="O30" s="334"/>
      <c r="P30" s="184"/>
    </row>
    <row r="31" spans="1:16" ht="15">
      <c r="A31" s="196"/>
      <c r="B31" s="254" t="s">
        <v>381</v>
      </c>
      <c r="C31" s="196">
        <v>1</v>
      </c>
      <c r="D31" s="186">
        <f>13.48-4*0.22</f>
        <v>12.6</v>
      </c>
      <c r="E31" s="186">
        <v>0.22</v>
      </c>
      <c r="F31" s="186">
        <v>0.35</v>
      </c>
      <c r="G31" s="186">
        <v>1</v>
      </c>
      <c r="H31" s="186"/>
      <c r="I31" s="186"/>
      <c r="J31" s="228"/>
      <c r="K31" s="228">
        <f t="shared" si="0"/>
        <v>0.9701999999999998</v>
      </c>
      <c r="L31" s="228"/>
      <c r="M31" s="228"/>
      <c r="N31" s="228">
        <f t="shared" si="1"/>
        <v>6.299999999999999</v>
      </c>
      <c r="O31" s="228"/>
      <c r="P31" s="254"/>
    </row>
    <row r="32" spans="1:16" ht="15">
      <c r="A32" s="196"/>
      <c r="B32" s="254" t="s">
        <v>382</v>
      </c>
      <c r="C32" s="196">
        <v>1</v>
      </c>
      <c r="D32" s="186">
        <f>7.28-0.22</f>
        <v>7.0600000000000005</v>
      </c>
      <c r="E32" s="186">
        <v>0.22</v>
      </c>
      <c r="F32" s="186">
        <v>0.35</v>
      </c>
      <c r="G32" s="186">
        <v>1</v>
      </c>
      <c r="H32" s="186"/>
      <c r="I32" s="186"/>
      <c r="J32" s="228"/>
      <c r="K32" s="228">
        <f t="shared" si="0"/>
        <v>0.54362</v>
      </c>
      <c r="L32" s="228"/>
      <c r="M32" s="228"/>
      <c r="N32" s="228">
        <f t="shared" si="1"/>
        <v>3.53</v>
      </c>
      <c r="O32" s="228"/>
      <c r="P32" s="254"/>
    </row>
    <row r="33" spans="1:16" ht="15">
      <c r="A33" s="196"/>
      <c r="B33" s="254" t="s">
        <v>383</v>
      </c>
      <c r="C33" s="196">
        <v>1</v>
      </c>
      <c r="D33" s="186">
        <v>7.5</v>
      </c>
      <c r="E33" s="186">
        <v>0.22</v>
      </c>
      <c r="F33" s="186">
        <v>0.35</v>
      </c>
      <c r="G33" s="186">
        <v>1</v>
      </c>
      <c r="H33" s="186"/>
      <c r="I33" s="186"/>
      <c r="J33" s="228"/>
      <c r="K33" s="228">
        <f t="shared" si="0"/>
        <v>0.5774999999999999</v>
      </c>
      <c r="L33" s="228"/>
      <c r="M33" s="228"/>
      <c r="N33" s="228">
        <f t="shared" si="1"/>
        <v>3.7499999999999996</v>
      </c>
      <c r="O33" s="228"/>
      <c r="P33" s="254"/>
    </row>
    <row r="34" spans="1:16" s="187" customFormat="1" ht="15">
      <c r="A34" s="183"/>
      <c r="B34" s="254" t="s">
        <v>384</v>
      </c>
      <c r="C34" s="196">
        <v>1</v>
      </c>
      <c r="D34" s="186">
        <v>3.98</v>
      </c>
      <c r="E34" s="186">
        <v>0.22</v>
      </c>
      <c r="F34" s="186">
        <v>0.35</v>
      </c>
      <c r="G34" s="186">
        <v>1</v>
      </c>
      <c r="H34" s="186"/>
      <c r="I34" s="186"/>
      <c r="J34" s="334"/>
      <c r="K34" s="228">
        <f t="shared" si="0"/>
        <v>0.30646</v>
      </c>
      <c r="L34" s="334"/>
      <c r="M34" s="334"/>
      <c r="N34" s="228">
        <f t="shared" si="1"/>
        <v>1.9899999999999998</v>
      </c>
      <c r="O34" s="334"/>
      <c r="P34" s="184"/>
    </row>
    <row r="35" spans="1:16" ht="15">
      <c r="A35" s="196"/>
      <c r="B35" s="254" t="s">
        <v>385</v>
      </c>
      <c r="C35" s="196">
        <v>1</v>
      </c>
      <c r="D35" s="186">
        <v>3.08</v>
      </c>
      <c r="E35" s="186">
        <v>0.22</v>
      </c>
      <c r="F35" s="186">
        <v>0.35</v>
      </c>
      <c r="G35" s="186">
        <v>1</v>
      </c>
      <c r="H35" s="186"/>
      <c r="I35" s="186"/>
      <c r="J35" s="228"/>
      <c r="K35" s="228">
        <f t="shared" si="0"/>
        <v>0.23715999999999998</v>
      </c>
      <c r="L35" s="228"/>
      <c r="M35" s="228"/>
      <c r="N35" s="228">
        <f t="shared" si="1"/>
        <v>1.5399999999999998</v>
      </c>
      <c r="O35" s="228"/>
      <c r="P35" s="254"/>
    </row>
    <row r="36" spans="1:16" ht="15">
      <c r="A36" s="196"/>
      <c r="B36" s="254" t="s">
        <v>386</v>
      </c>
      <c r="C36" s="196">
        <v>1</v>
      </c>
      <c r="D36" s="186">
        <f>4.83-0.22</f>
        <v>4.61</v>
      </c>
      <c r="E36" s="186">
        <v>0.22</v>
      </c>
      <c r="F36" s="186">
        <v>0.35</v>
      </c>
      <c r="G36" s="186">
        <v>1</v>
      </c>
      <c r="H36" s="186"/>
      <c r="I36" s="186"/>
      <c r="J36" s="228"/>
      <c r="K36" s="228">
        <f t="shared" si="0"/>
        <v>0.35496999999999995</v>
      </c>
      <c r="L36" s="228"/>
      <c r="M36" s="228"/>
      <c r="N36" s="228">
        <f t="shared" si="1"/>
        <v>2.3049999999999997</v>
      </c>
      <c r="O36" s="228"/>
      <c r="P36" s="254"/>
    </row>
    <row r="37" spans="1:16" s="187" customFormat="1" ht="15">
      <c r="A37" s="183"/>
      <c r="B37" s="254" t="s">
        <v>387</v>
      </c>
      <c r="C37" s="196">
        <v>1</v>
      </c>
      <c r="D37" s="186">
        <v>3.08</v>
      </c>
      <c r="E37" s="186">
        <v>0.22</v>
      </c>
      <c r="F37" s="186">
        <v>0.3</v>
      </c>
      <c r="G37" s="186">
        <v>1</v>
      </c>
      <c r="H37" s="186"/>
      <c r="I37" s="186"/>
      <c r="J37" s="334"/>
      <c r="K37" s="228">
        <f t="shared" si="0"/>
        <v>0.20328</v>
      </c>
      <c r="L37" s="334"/>
      <c r="M37" s="334"/>
      <c r="N37" s="228">
        <f t="shared" si="1"/>
        <v>1.232</v>
      </c>
      <c r="O37" s="334"/>
      <c r="P37" s="184"/>
    </row>
    <row r="38" spans="1:16" ht="15">
      <c r="A38" s="196"/>
      <c r="B38" s="254" t="s">
        <v>388</v>
      </c>
      <c r="C38" s="196">
        <v>1</v>
      </c>
      <c r="D38" s="186">
        <v>3.08</v>
      </c>
      <c r="E38" s="186">
        <v>0.15</v>
      </c>
      <c r="F38" s="186">
        <v>0.2</v>
      </c>
      <c r="G38" s="186">
        <v>1</v>
      </c>
      <c r="H38" s="186"/>
      <c r="I38" s="186"/>
      <c r="J38" s="228"/>
      <c r="K38" s="228">
        <f t="shared" si="0"/>
        <v>0.0924</v>
      </c>
      <c r="L38" s="228"/>
      <c r="M38" s="228"/>
      <c r="N38" s="228">
        <f t="shared" si="1"/>
        <v>0.6160000000000001</v>
      </c>
      <c r="O38" s="228"/>
      <c r="P38" s="254"/>
    </row>
    <row r="39" spans="1:16" ht="15">
      <c r="A39" s="196"/>
      <c r="B39" s="254" t="s">
        <v>389</v>
      </c>
      <c r="C39" s="196">
        <v>1</v>
      </c>
      <c r="D39" s="186">
        <v>3.08</v>
      </c>
      <c r="E39" s="186">
        <v>0.15</v>
      </c>
      <c r="F39" s="186">
        <v>0.35</v>
      </c>
      <c r="G39" s="186">
        <v>1</v>
      </c>
      <c r="H39" s="186"/>
      <c r="I39" s="186"/>
      <c r="J39" s="228"/>
      <c r="K39" s="228">
        <f t="shared" si="0"/>
        <v>0.16169999999999998</v>
      </c>
      <c r="L39" s="228"/>
      <c r="M39" s="228"/>
      <c r="N39" s="228">
        <f t="shared" si="1"/>
        <v>1.5399999999999998</v>
      </c>
      <c r="O39" s="228"/>
      <c r="P39" s="254"/>
    </row>
    <row r="40" spans="1:16" ht="15">
      <c r="A40" s="196"/>
      <c r="B40" s="254" t="s">
        <v>390</v>
      </c>
      <c r="C40" s="196">
        <v>1</v>
      </c>
      <c r="D40" s="186">
        <f>8.13-0.22*2</f>
        <v>7.69</v>
      </c>
      <c r="E40" s="186">
        <v>0.22</v>
      </c>
      <c r="F40" s="186">
        <v>0.35</v>
      </c>
      <c r="G40" s="186">
        <v>1</v>
      </c>
      <c r="H40" s="186"/>
      <c r="I40" s="186"/>
      <c r="J40" s="228"/>
      <c r="K40" s="228">
        <f t="shared" si="0"/>
        <v>0.59213</v>
      </c>
      <c r="L40" s="228"/>
      <c r="M40" s="228"/>
      <c r="N40" s="228">
        <f t="shared" si="1"/>
        <v>3.8449999999999998</v>
      </c>
      <c r="O40" s="228"/>
      <c r="P40" s="254"/>
    </row>
    <row r="41" spans="1:16" s="187" customFormat="1" ht="15">
      <c r="A41" s="183"/>
      <c r="B41" s="184"/>
      <c r="C41" s="196"/>
      <c r="D41" s="186"/>
      <c r="E41" s="186"/>
      <c r="F41" s="186"/>
      <c r="G41" s="186"/>
      <c r="H41" s="186"/>
      <c r="I41" s="186"/>
      <c r="J41" s="334"/>
      <c r="K41" s="334"/>
      <c r="L41" s="334"/>
      <c r="M41" s="334"/>
      <c r="N41" s="334"/>
      <c r="O41" s="334"/>
      <c r="P41" s="184"/>
    </row>
    <row r="42" spans="1:16" ht="15">
      <c r="A42" s="196"/>
      <c r="B42" s="254"/>
      <c r="C42" s="196"/>
      <c r="D42" s="186"/>
      <c r="E42" s="186"/>
      <c r="F42" s="186"/>
      <c r="G42" s="186"/>
      <c r="H42" s="186"/>
      <c r="I42" s="186"/>
      <c r="J42" s="228"/>
      <c r="K42" s="228"/>
      <c r="L42" s="228"/>
      <c r="M42" s="228"/>
      <c r="N42" s="228"/>
      <c r="O42" s="228"/>
      <c r="P42" s="254"/>
    </row>
    <row r="43" spans="1:16" ht="15">
      <c r="A43" s="196"/>
      <c r="B43" s="254"/>
      <c r="C43" s="196"/>
      <c r="D43" s="186"/>
      <c r="E43" s="186"/>
      <c r="F43" s="186"/>
      <c r="G43" s="186"/>
      <c r="H43" s="186"/>
      <c r="I43" s="186"/>
      <c r="J43" s="228"/>
      <c r="K43" s="228"/>
      <c r="L43" s="228"/>
      <c r="M43" s="228"/>
      <c r="N43" s="228"/>
      <c r="O43" s="228"/>
      <c r="P43" s="254"/>
    </row>
    <row r="44" spans="1:16" s="187" customFormat="1" ht="15">
      <c r="A44" s="183"/>
      <c r="B44" s="184"/>
      <c r="C44" s="196"/>
      <c r="D44" s="186"/>
      <c r="E44" s="186"/>
      <c r="F44" s="186"/>
      <c r="G44" s="186"/>
      <c r="H44" s="186"/>
      <c r="I44" s="186"/>
      <c r="J44" s="334"/>
      <c r="K44" s="334"/>
      <c r="L44" s="334"/>
      <c r="M44" s="334"/>
      <c r="N44" s="334"/>
      <c r="O44" s="334"/>
      <c r="P44" s="184"/>
    </row>
    <row r="45" spans="1:16" ht="15">
      <c r="A45" s="196"/>
      <c r="B45" s="254"/>
      <c r="C45" s="196"/>
      <c r="D45" s="186"/>
      <c r="E45" s="186"/>
      <c r="F45" s="186"/>
      <c r="G45" s="186"/>
      <c r="H45" s="186"/>
      <c r="I45" s="186"/>
      <c r="J45" s="228"/>
      <c r="K45" s="228"/>
      <c r="L45" s="228"/>
      <c r="M45" s="228"/>
      <c r="N45" s="228"/>
      <c r="O45" s="228"/>
      <c r="P45" s="254"/>
    </row>
    <row r="46" spans="1:16" ht="15">
      <c r="A46" s="196"/>
      <c r="B46" s="254"/>
      <c r="C46" s="196"/>
      <c r="D46" s="186"/>
      <c r="E46" s="186"/>
      <c r="F46" s="186"/>
      <c r="G46" s="186"/>
      <c r="H46" s="186"/>
      <c r="I46" s="186"/>
      <c r="J46" s="228"/>
      <c r="K46" s="228"/>
      <c r="L46" s="228"/>
      <c r="M46" s="228"/>
      <c r="N46" s="228"/>
      <c r="O46" s="228"/>
      <c r="P46" s="254"/>
    </row>
    <row r="47" spans="1:16" ht="15">
      <c r="A47" s="196"/>
      <c r="B47" s="254"/>
      <c r="C47" s="196"/>
      <c r="D47" s="186"/>
      <c r="E47" s="186"/>
      <c r="F47" s="186"/>
      <c r="G47" s="186"/>
      <c r="H47" s="186"/>
      <c r="I47" s="186"/>
      <c r="J47" s="228"/>
      <c r="K47" s="228"/>
      <c r="L47" s="228"/>
      <c r="M47" s="228"/>
      <c r="N47" s="228"/>
      <c r="O47" s="228"/>
      <c r="P47" s="254"/>
    </row>
    <row r="48" spans="1:16" s="187" customFormat="1" ht="15">
      <c r="A48" s="183"/>
      <c r="B48" s="184"/>
      <c r="C48" s="196"/>
      <c r="D48" s="186"/>
      <c r="E48" s="186"/>
      <c r="F48" s="186"/>
      <c r="G48" s="186"/>
      <c r="H48" s="186"/>
      <c r="I48" s="186"/>
      <c r="J48" s="334"/>
      <c r="K48" s="334"/>
      <c r="L48" s="334"/>
      <c r="M48" s="334"/>
      <c r="N48" s="334"/>
      <c r="O48" s="334"/>
      <c r="P48" s="184"/>
    </row>
    <row r="49" spans="1:16" ht="15">
      <c r="A49" s="196"/>
      <c r="B49" s="254"/>
      <c r="C49" s="196"/>
      <c r="D49" s="186"/>
      <c r="E49" s="186"/>
      <c r="F49" s="186"/>
      <c r="G49" s="186"/>
      <c r="H49" s="186"/>
      <c r="I49" s="186"/>
      <c r="J49" s="228"/>
      <c r="K49" s="228"/>
      <c r="L49" s="228"/>
      <c r="M49" s="228"/>
      <c r="N49" s="228"/>
      <c r="O49" s="228"/>
      <c r="P49" s="254"/>
    </row>
    <row r="50" spans="1:16" ht="15">
      <c r="A50" s="196"/>
      <c r="B50" s="254"/>
      <c r="C50" s="196"/>
      <c r="D50" s="186"/>
      <c r="E50" s="186"/>
      <c r="F50" s="186"/>
      <c r="G50" s="186"/>
      <c r="H50" s="186"/>
      <c r="I50" s="186"/>
      <c r="J50" s="228"/>
      <c r="K50" s="228"/>
      <c r="L50" s="228"/>
      <c r="M50" s="228"/>
      <c r="N50" s="228"/>
      <c r="O50" s="228"/>
      <c r="P50" s="254"/>
    </row>
    <row r="51" spans="1:16" s="187" customFormat="1" ht="15">
      <c r="A51" s="183"/>
      <c r="B51" s="184"/>
      <c r="C51" s="196"/>
      <c r="D51" s="186"/>
      <c r="E51" s="186"/>
      <c r="F51" s="186"/>
      <c r="G51" s="186"/>
      <c r="H51" s="186"/>
      <c r="I51" s="186"/>
      <c r="J51" s="334"/>
      <c r="K51" s="334"/>
      <c r="L51" s="334"/>
      <c r="M51" s="334"/>
      <c r="N51" s="334"/>
      <c r="O51" s="334"/>
      <c r="P51" s="184"/>
    </row>
    <row r="52" spans="1:16" ht="15">
      <c r="A52" s="196"/>
      <c r="B52" s="254"/>
      <c r="C52" s="196"/>
      <c r="D52" s="186"/>
      <c r="E52" s="186"/>
      <c r="F52" s="186"/>
      <c r="G52" s="186"/>
      <c r="H52" s="186"/>
      <c r="I52" s="186"/>
      <c r="J52" s="228"/>
      <c r="K52" s="228"/>
      <c r="L52" s="228"/>
      <c r="M52" s="228"/>
      <c r="N52" s="228"/>
      <c r="O52" s="228"/>
      <c r="P52" s="254"/>
    </row>
    <row r="53" spans="1:16" ht="15">
      <c r="A53" s="196"/>
      <c r="B53" s="254"/>
      <c r="C53" s="196"/>
      <c r="D53" s="186"/>
      <c r="E53" s="186"/>
      <c r="F53" s="186"/>
      <c r="G53" s="186"/>
      <c r="H53" s="186"/>
      <c r="I53" s="186"/>
      <c r="J53" s="228"/>
      <c r="K53" s="228"/>
      <c r="L53" s="228"/>
      <c r="M53" s="228"/>
      <c r="N53" s="228"/>
      <c r="O53" s="228"/>
      <c r="P53" s="254"/>
    </row>
    <row r="54" spans="1:16" ht="15">
      <c r="A54" s="196"/>
      <c r="B54" s="254"/>
      <c r="C54" s="196"/>
      <c r="D54" s="186"/>
      <c r="E54" s="186"/>
      <c r="F54" s="186"/>
      <c r="G54" s="186"/>
      <c r="H54" s="186"/>
      <c r="I54" s="186"/>
      <c r="J54" s="228"/>
      <c r="K54" s="228"/>
      <c r="L54" s="228"/>
      <c r="M54" s="228"/>
      <c r="N54" s="228"/>
      <c r="O54" s="228"/>
      <c r="P54" s="254"/>
    </row>
    <row r="55" spans="1:16" s="187" customFormat="1" ht="15">
      <c r="A55" s="183"/>
      <c r="B55" s="184"/>
      <c r="C55" s="196"/>
      <c r="D55" s="186"/>
      <c r="E55" s="186"/>
      <c r="F55" s="186"/>
      <c r="G55" s="186"/>
      <c r="H55" s="186"/>
      <c r="I55" s="186"/>
      <c r="J55" s="334"/>
      <c r="K55" s="334"/>
      <c r="L55" s="334"/>
      <c r="M55" s="334"/>
      <c r="N55" s="334"/>
      <c r="O55" s="334"/>
      <c r="P55" s="184"/>
    </row>
    <row r="56" spans="1:16" ht="15">
      <c r="A56" s="196"/>
      <c r="B56" s="254"/>
      <c r="C56" s="196"/>
      <c r="D56" s="186"/>
      <c r="E56" s="186"/>
      <c r="F56" s="186"/>
      <c r="G56" s="186"/>
      <c r="H56" s="186"/>
      <c r="I56" s="186"/>
      <c r="J56" s="228"/>
      <c r="K56" s="228"/>
      <c r="L56" s="228"/>
      <c r="M56" s="228"/>
      <c r="N56" s="228"/>
      <c r="O56" s="228"/>
      <c r="P56" s="254"/>
    </row>
    <row r="57" spans="1:16" ht="15">
      <c r="A57" s="196"/>
      <c r="B57" s="254"/>
      <c r="C57" s="196"/>
      <c r="D57" s="186"/>
      <c r="E57" s="186"/>
      <c r="F57" s="186"/>
      <c r="G57" s="186"/>
      <c r="H57" s="186"/>
      <c r="I57" s="186"/>
      <c r="J57" s="228"/>
      <c r="K57" s="228"/>
      <c r="L57" s="228"/>
      <c r="M57" s="228"/>
      <c r="N57" s="228"/>
      <c r="O57" s="228"/>
      <c r="P57" s="254"/>
    </row>
    <row r="58" spans="1:16" s="187" customFormat="1" ht="15">
      <c r="A58" s="183"/>
      <c r="B58" s="184"/>
      <c r="C58" s="196"/>
      <c r="D58" s="186"/>
      <c r="E58" s="186"/>
      <c r="F58" s="186"/>
      <c r="G58" s="186"/>
      <c r="H58" s="186"/>
      <c r="I58" s="186"/>
      <c r="J58" s="334"/>
      <c r="K58" s="334"/>
      <c r="L58" s="334"/>
      <c r="M58" s="334"/>
      <c r="N58" s="334"/>
      <c r="O58" s="334"/>
      <c r="P58" s="184"/>
    </row>
    <row r="59" spans="1:16" ht="15">
      <c r="A59" s="196"/>
      <c r="B59" s="254"/>
      <c r="C59" s="196"/>
      <c r="D59" s="186"/>
      <c r="E59" s="186"/>
      <c r="F59" s="186"/>
      <c r="G59" s="186"/>
      <c r="H59" s="186"/>
      <c r="I59" s="186"/>
      <c r="J59" s="228"/>
      <c r="K59" s="228"/>
      <c r="L59" s="228"/>
      <c r="M59" s="228"/>
      <c r="N59" s="228"/>
      <c r="O59" s="228"/>
      <c r="P59" s="254"/>
    </row>
    <row r="60" spans="1:16" ht="15">
      <c r="A60" s="196"/>
      <c r="B60" s="254"/>
      <c r="C60" s="196"/>
      <c r="D60" s="186"/>
      <c r="E60" s="186"/>
      <c r="F60" s="186"/>
      <c r="G60" s="186"/>
      <c r="H60" s="186"/>
      <c r="I60" s="186"/>
      <c r="J60" s="228"/>
      <c r="K60" s="228"/>
      <c r="L60" s="228"/>
      <c r="M60" s="228"/>
      <c r="N60" s="228"/>
      <c r="O60" s="228"/>
      <c r="P60" s="254"/>
    </row>
    <row r="61" spans="1:16" ht="15">
      <c r="A61" s="196"/>
      <c r="B61" s="254"/>
      <c r="C61" s="196"/>
      <c r="D61" s="186"/>
      <c r="E61" s="186"/>
      <c r="F61" s="186"/>
      <c r="G61" s="186"/>
      <c r="H61" s="186"/>
      <c r="I61" s="186"/>
      <c r="J61" s="228"/>
      <c r="K61" s="228"/>
      <c r="L61" s="228"/>
      <c r="M61" s="228"/>
      <c r="N61" s="228"/>
      <c r="O61" s="228"/>
      <c r="P61" s="254"/>
    </row>
    <row r="62" spans="1:16" s="187" customFormat="1" ht="15">
      <c r="A62" s="183"/>
      <c r="B62" s="184"/>
      <c r="C62" s="196"/>
      <c r="D62" s="186"/>
      <c r="E62" s="186"/>
      <c r="F62" s="186"/>
      <c r="G62" s="186"/>
      <c r="H62" s="186"/>
      <c r="I62" s="186"/>
      <c r="J62" s="334"/>
      <c r="K62" s="334"/>
      <c r="L62" s="334"/>
      <c r="M62" s="334"/>
      <c r="N62" s="334"/>
      <c r="O62" s="334"/>
      <c r="P62" s="184"/>
    </row>
    <row r="63" spans="1:16" ht="15">
      <c r="A63" s="196"/>
      <c r="B63" s="254"/>
      <c r="C63" s="196"/>
      <c r="D63" s="186"/>
      <c r="E63" s="186"/>
      <c r="F63" s="186"/>
      <c r="G63" s="186"/>
      <c r="H63" s="186"/>
      <c r="I63" s="186"/>
      <c r="J63" s="228"/>
      <c r="K63" s="228"/>
      <c r="L63" s="228"/>
      <c r="M63" s="228"/>
      <c r="N63" s="228"/>
      <c r="O63" s="228"/>
      <c r="P63" s="254"/>
    </row>
    <row r="64" spans="1:16" ht="15">
      <c r="A64" s="196"/>
      <c r="B64" s="254"/>
      <c r="C64" s="196"/>
      <c r="D64" s="186"/>
      <c r="E64" s="186"/>
      <c r="F64" s="186"/>
      <c r="G64" s="186"/>
      <c r="H64" s="186"/>
      <c r="I64" s="186"/>
      <c r="J64" s="228"/>
      <c r="K64" s="228"/>
      <c r="L64" s="228"/>
      <c r="M64" s="228"/>
      <c r="N64" s="228"/>
      <c r="O64" s="228"/>
      <c r="P64" s="254"/>
    </row>
    <row r="65" spans="1:16" s="187" customFormat="1" ht="15">
      <c r="A65" s="183"/>
      <c r="B65" s="184"/>
      <c r="C65" s="196"/>
      <c r="D65" s="186"/>
      <c r="E65" s="186"/>
      <c r="F65" s="186"/>
      <c r="G65" s="186"/>
      <c r="H65" s="186"/>
      <c r="I65" s="186"/>
      <c r="J65" s="334"/>
      <c r="K65" s="334"/>
      <c r="L65" s="334"/>
      <c r="M65" s="334"/>
      <c r="N65" s="334"/>
      <c r="O65" s="334"/>
      <c r="P65" s="184"/>
    </row>
    <row r="66" spans="1:16" ht="15">
      <c r="A66" s="196"/>
      <c r="B66" s="254"/>
      <c r="C66" s="196"/>
      <c r="D66" s="186"/>
      <c r="E66" s="186"/>
      <c r="F66" s="186"/>
      <c r="G66" s="186"/>
      <c r="H66" s="186"/>
      <c r="I66" s="186"/>
      <c r="J66" s="228"/>
      <c r="K66" s="228"/>
      <c r="L66" s="228"/>
      <c r="M66" s="228"/>
      <c r="N66" s="228"/>
      <c r="O66" s="228"/>
      <c r="P66" s="254"/>
    </row>
    <row r="67" spans="1:16" ht="15">
      <c r="A67" s="196"/>
      <c r="B67" s="254"/>
      <c r="C67" s="196"/>
      <c r="D67" s="186"/>
      <c r="E67" s="186"/>
      <c r="F67" s="186"/>
      <c r="G67" s="186"/>
      <c r="H67" s="186"/>
      <c r="I67" s="186"/>
      <c r="J67" s="228"/>
      <c r="K67" s="228"/>
      <c r="L67" s="228"/>
      <c r="M67" s="228"/>
      <c r="N67" s="228"/>
      <c r="O67" s="228"/>
      <c r="P67" s="254"/>
    </row>
    <row r="68" spans="1:16" ht="15">
      <c r="A68" s="196"/>
      <c r="B68" s="254"/>
      <c r="C68" s="196"/>
      <c r="D68" s="186"/>
      <c r="E68" s="186"/>
      <c r="F68" s="186"/>
      <c r="G68" s="186"/>
      <c r="H68" s="186"/>
      <c r="I68" s="186"/>
      <c r="J68" s="228"/>
      <c r="K68" s="228"/>
      <c r="L68" s="228"/>
      <c r="M68" s="228"/>
      <c r="N68" s="228"/>
      <c r="O68" s="228"/>
      <c r="P68" s="254"/>
    </row>
    <row r="69" spans="1:16" s="187" customFormat="1" ht="15">
      <c r="A69" s="183"/>
      <c r="B69" s="184"/>
      <c r="C69" s="196"/>
      <c r="D69" s="186"/>
      <c r="E69" s="186"/>
      <c r="F69" s="186"/>
      <c r="G69" s="186"/>
      <c r="H69" s="186"/>
      <c r="I69" s="186"/>
      <c r="J69" s="334"/>
      <c r="K69" s="334"/>
      <c r="L69" s="334"/>
      <c r="M69" s="334"/>
      <c r="N69" s="334"/>
      <c r="O69" s="334"/>
      <c r="P69" s="184"/>
    </row>
    <row r="70" spans="1:16" ht="15">
      <c r="A70" s="196"/>
      <c r="B70" s="254"/>
      <c r="C70" s="196"/>
      <c r="D70" s="186"/>
      <c r="E70" s="186"/>
      <c r="F70" s="186"/>
      <c r="G70" s="186"/>
      <c r="H70" s="186"/>
      <c r="I70" s="186"/>
      <c r="J70" s="228"/>
      <c r="K70" s="228"/>
      <c r="L70" s="228"/>
      <c r="M70" s="228"/>
      <c r="N70" s="228"/>
      <c r="O70" s="228"/>
      <c r="P70" s="254"/>
    </row>
    <row r="71" spans="1:16" ht="15">
      <c r="A71" s="196"/>
      <c r="B71" s="254"/>
      <c r="C71" s="196"/>
      <c r="D71" s="186"/>
      <c r="E71" s="186"/>
      <c r="F71" s="186"/>
      <c r="G71" s="186"/>
      <c r="H71" s="186"/>
      <c r="I71" s="186"/>
      <c r="J71" s="228"/>
      <c r="K71" s="228"/>
      <c r="L71" s="228"/>
      <c r="M71" s="228"/>
      <c r="N71" s="228"/>
      <c r="O71" s="228"/>
      <c r="P71" s="254"/>
    </row>
    <row r="72" spans="1:16" s="187" customFormat="1" ht="15">
      <c r="A72" s="183"/>
      <c r="B72" s="184"/>
      <c r="C72" s="196"/>
      <c r="D72" s="186"/>
      <c r="E72" s="186"/>
      <c r="F72" s="186"/>
      <c r="G72" s="186"/>
      <c r="H72" s="186"/>
      <c r="I72" s="186"/>
      <c r="J72" s="334"/>
      <c r="K72" s="334"/>
      <c r="L72" s="334"/>
      <c r="M72" s="334"/>
      <c r="N72" s="334"/>
      <c r="O72" s="334"/>
      <c r="P72" s="184"/>
    </row>
    <row r="73" spans="1:16" ht="15">
      <c r="A73" s="196"/>
      <c r="B73" s="254"/>
      <c r="C73" s="196"/>
      <c r="D73" s="186"/>
      <c r="E73" s="186"/>
      <c r="F73" s="186"/>
      <c r="G73" s="186"/>
      <c r="H73" s="186"/>
      <c r="I73" s="186"/>
      <c r="J73" s="228"/>
      <c r="K73" s="228"/>
      <c r="L73" s="228"/>
      <c r="M73" s="228"/>
      <c r="N73" s="228"/>
      <c r="O73" s="228"/>
      <c r="P73" s="254"/>
    </row>
    <row r="74" spans="1:16" ht="15">
      <c r="A74" s="196"/>
      <c r="B74" s="254"/>
      <c r="C74" s="196"/>
      <c r="D74" s="186"/>
      <c r="E74" s="186"/>
      <c r="F74" s="186"/>
      <c r="G74" s="186"/>
      <c r="H74" s="186"/>
      <c r="I74" s="186"/>
      <c r="J74" s="228"/>
      <c r="K74" s="228"/>
      <c r="L74" s="228"/>
      <c r="M74" s="228"/>
      <c r="N74" s="228"/>
      <c r="O74" s="228"/>
      <c r="P74" s="254"/>
    </row>
    <row r="75" spans="1:16" ht="15">
      <c r="A75" s="196"/>
      <c r="B75" s="254"/>
      <c r="C75" s="196"/>
      <c r="D75" s="186"/>
      <c r="E75" s="186"/>
      <c r="F75" s="186"/>
      <c r="G75" s="186"/>
      <c r="H75" s="186"/>
      <c r="I75" s="186"/>
      <c r="J75" s="228"/>
      <c r="K75" s="228"/>
      <c r="L75" s="228"/>
      <c r="M75" s="228"/>
      <c r="N75" s="228"/>
      <c r="O75" s="228"/>
      <c r="P75" s="254"/>
    </row>
    <row r="76" spans="1:16" s="187" customFormat="1" ht="15">
      <c r="A76" s="183"/>
      <c r="B76" s="184"/>
      <c r="C76" s="196"/>
      <c r="D76" s="186"/>
      <c r="E76" s="186"/>
      <c r="F76" s="186"/>
      <c r="G76" s="186"/>
      <c r="H76" s="186"/>
      <c r="I76" s="186"/>
      <c r="J76" s="334"/>
      <c r="K76" s="334"/>
      <c r="L76" s="334"/>
      <c r="M76" s="334"/>
      <c r="N76" s="334"/>
      <c r="O76" s="334"/>
      <c r="P76" s="184"/>
    </row>
    <row r="77" spans="1:16" ht="15">
      <c r="A77" s="196"/>
      <c r="B77" s="254"/>
      <c r="C77" s="196"/>
      <c r="D77" s="186"/>
      <c r="E77" s="186"/>
      <c r="F77" s="186"/>
      <c r="G77" s="186"/>
      <c r="H77" s="186"/>
      <c r="I77" s="186"/>
      <c r="J77" s="228"/>
      <c r="K77" s="228"/>
      <c r="L77" s="228"/>
      <c r="M77" s="228"/>
      <c r="N77" s="228"/>
      <c r="O77" s="228"/>
      <c r="P77" s="254"/>
    </row>
    <row r="78" spans="1:16" ht="15">
      <c r="A78" s="196"/>
      <c r="B78" s="254"/>
      <c r="C78" s="196"/>
      <c r="D78" s="186"/>
      <c r="E78" s="186"/>
      <c r="F78" s="186"/>
      <c r="G78" s="186"/>
      <c r="H78" s="186"/>
      <c r="I78" s="186"/>
      <c r="J78" s="228"/>
      <c r="K78" s="228"/>
      <c r="L78" s="228"/>
      <c r="M78" s="228"/>
      <c r="N78" s="228"/>
      <c r="O78" s="228"/>
      <c r="P78" s="254"/>
    </row>
    <row r="79" spans="1:16" s="187" customFormat="1" ht="15">
      <c r="A79" s="183"/>
      <c r="B79" s="184"/>
      <c r="C79" s="196"/>
      <c r="D79" s="186"/>
      <c r="E79" s="186"/>
      <c r="F79" s="186"/>
      <c r="G79" s="186"/>
      <c r="H79" s="186"/>
      <c r="I79" s="186"/>
      <c r="J79" s="334"/>
      <c r="K79" s="334"/>
      <c r="L79" s="334"/>
      <c r="M79" s="334"/>
      <c r="N79" s="334"/>
      <c r="O79" s="334"/>
      <c r="P79" s="184"/>
    </row>
    <row r="80" spans="1:16" ht="15">
      <c r="A80" s="196"/>
      <c r="B80" s="254"/>
      <c r="C80" s="196"/>
      <c r="D80" s="186"/>
      <c r="E80" s="186"/>
      <c r="F80" s="186"/>
      <c r="G80" s="186"/>
      <c r="H80" s="186"/>
      <c r="I80" s="186"/>
      <c r="J80" s="228"/>
      <c r="K80" s="228"/>
      <c r="L80" s="228"/>
      <c r="M80" s="228"/>
      <c r="N80" s="228"/>
      <c r="O80" s="228"/>
      <c r="P80" s="254"/>
    </row>
    <row r="81" spans="1:16" ht="15">
      <c r="A81" s="196"/>
      <c r="B81" s="254"/>
      <c r="C81" s="196"/>
      <c r="D81" s="186"/>
      <c r="E81" s="186"/>
      <c r="F81" s="186"/>
      <c r="G81" s="186"/>
      <c r="H81" s="186"/>
      <c r="I81" s="186"/>
      <c r="J81" s="228"/>
      <c r="K81" s="228"/>
      <c r="L81" s="228"/>
      <c r="M81" s="228"/>
      <c r="N81" s="228"/>
      <c r="O81" s="228"/>
      <c r="P81" s="254"/>
    </row>
    <row r="82" spans="1:16" ht="15">
      <c r="A82" s="196"/>
      <c r="B82" s="254"/>
      <c r="C82" s="196"/>
      <c r="D82" s="186"/>
      <c r="E82" s="186"/>
      <c r="F82" s="186"/>
      <c r="G82" s="186"/>
      <c r="H82" s="186"/>
      <c r="I82" s="186"/>
      <c r="J82" s="228"/>
      <c r="K82" s="228"/>
      <c r="L82" s="228"/>
      <c r="M82" s="228"/>
      <c r="N82" s="228"/>
      <c r="O82" s="228"/>
      <c r="P82" s="254"/>
    </row>
  </sheetData>
  <sheetProtection/>
  <mergeCells count="7">
    <mergeCell ref="A1:M1"/>
    <mergeCell ref="D3:F3"/>
    <mergeCell ref="B3:B4"/>
    <mergeCell ref="A3:A4"/>
    <mergeCell ref="G3:I3"/>
    <mergeCell ref="J3:L3"/>
    <mergeCell ref="M3:O3"/>
  </mergeCells>
  <printOptions/>
  <pageMargins left="1.04" right="0.21" top="0.87" bottom="0.46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94"/>
  <sheetViews>
    <sheetView zoomScaleSheetLayoutView="100" zoomScalePageLayoutView="0" workbookViewId="0" topLeftCell="A1">
      <pane xSplit="2" ySplit="4" topLeftCell="C5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A6" sqref="A6:IV94"/>
    </sheetView>
  </sheetViews>
  <sheetFormatPr defaultColWidth="9.140625" defaultRowHeight="12.75"/>
  <cols>
    <col min="1" max="1" width="5.140625" style="25" customWidth="1"/>
    <col min="2" max="2" width="18.28125" style="2" customWidth="1"/>
    <col min="3" max="3" width="6.7109375" style="25" bestFit="1" customWidth="1"/>
    <col min="4" max="4" width="6.00390625" style="26" bestFit="1" customWidth="1"/>
    <col min="5" max="5" width="9.57421875" style="26" customWidth="1"/>
    <col min="6" max="6" width="7.28125" style="29" customWidth="1"/>
    <col min="7" max="7" width="6.57421875" style="2" customWidth="1"/>
    <col min="8" max="8" width="5.421875" style="2" customWidth="1"/>
    <col min="9" max="10" width="5.7109375" style="2" customWidth="1"/>
    <col min="11" max="11" width="9.7109375" style="26" customWidth="1"/>
    <col min="12" max="12" width="10.7109375" style="26" customWidth="1"/>
    <col min="13" max="14" width="10.00390625" style="26" customWidth="1"/>
    <col min="15" max="15" width="0" style="2" hidden="1" customWidth="1"/>
    <col min="16" max="16384" width="9.140625" style="2" customWidth="1"/>
  </cols>
  <sheetData>
    <row r="1" spans="1:14" ht="16.5">
      <c r="A1" s="285" t="s">
        <v>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3" spans="1:14" ht="21" customHeight="1">
      <c r="A3" s="288" t="s">
        <v>1</v>
      </c>
      <c r="B3" s="288" t="s">
        <v>137</v>
      </c>
      <c r="C3" s="286" t="s">
        <v>73</v>
      </c>
      <c r="D3" s="288" t="s">
        <v>74</v>
      </c>
      <c r="E3" s="289" t="s">
        <v>75</v>
      </c>
      <c r="F3" s="289"/>
      <c r="G3" s="289"/>
      <c r="H3" s="292" t="s">
        <v>76</v>
      </c>
      <c r="I3" s="293"/>
      <c r="J3" s="294"/>
      <c r="K3" s="290" t="s">
        <v>77</v>
      </c>
      <c r="L3" s="290" t="s">
        <v>360</v>
      </c>
      <c r="M3" s="290" t="s">
        <v>85</v>
      </c>
      <c r="N3" s="290" t="s">
        <v>86</v>
      </c>
    </row>
    <row r="4" spans="1:14" ht="16.5" customHeight="1">
      <c r="A4" s="288"/>
      <c r="B4" s="288"/>
      <c r="C4" s="287"/>
      <c r="D4" s="288" t="s">
        <v>87</v>
      </c>
      <c r="E4" s="62" t="s">
        <v>277</v>
      </c>
      <c r="F4" s="64" t="s">
        <v>278</v>
      </c>
      <c r="G4" s="62" t="s">
        <v>279</v>
      </c>
      <c r="H4" s="63">
        <v>0.15</v>
      </c>
      <c r="I4" s="63">
        <v>0.12</v>
      </c>
      <c r="J4" s="65">
        <v>0.1</v>
      </c>
      <c r="K4" s="291"/>
      <c r="L4" s="291"/>
      <c r="M4" s="291"/>
      <c r="N4" s="291"/>
    </row>
    <row r="5" spans="1:16" ht="16.5" customHeight="1">
      <c r="A5" s="66"/>
      <c r="B5" s="7" t="s">
        <v>89</v>
      </c>
      <c r="C5" s="66"/>
      <c r="D5" s="66"/>
      <c r="E5" s="67"/>
      <c r="F5" s="68"/>
      <c r="G5" s="67"/>
      <c r="H5" s="66"/>
      <c r="I5" s="66"/>
      <c r="J5" s="69"/>
      <c r="K5" s="70"/>
      <c r="L5" s="70"/>
      <c r="M5" s="71">
        <f>SUM(M6:M84)*0.9</f>
        <v>46.5534</v>
      </c>
      <c r="N5" s="71">
        <f>+N6+N35</f>
        <v>5.025620000000001</v>
      </c>
      <c r="O5" s="2">
        <v>7.345</v>
      </c>
      <c r="P5" s="164"/>
    </row>
    <row r="6" spans="1:14" ht="15">
      <c r="A6" s="58"/>
      <c r="B6" s="72" t="s">
        <v>90</v>
      </c>
      <c r="C6" s="14"/>
      <c r="D6" s="73"/>
      <c r="E6" s="13"/>
      <c r="F6" s="74"/>
      <c r="G6" s="4"/>
      <c r="H6" s="4"/>
      <c r="I6" s="4"/>
      <c r="J6" s="4"/>
      <c r="K6" s="5"/>
      <c r="L6" s="5"/>
      <c r="M6" s="5"/>
      <c r="N6" s="12">
        <f>SUM(N7:N34)</f>
        <v>1.38604</v>
      </c>
    </row>
    <row r="7" spans="1:14" ht="14.25">
      <c r="A7" s="58">
        <v>1</v>
      </c>
      <c r="B7" s="59" t="s">
        <v>91</v>
      </c>
      <c r="C7" s="58"/>
      <c r="D7" s="73"/>
      <c r="E7" s="13"/>
      <c r="F7" s="74"/>
      <c r="G7" s="4"/>
      <c r="H7" s="4"/>
      <c r="I7" s="4"/>
      <c r="J7" s="4"/>
      <c r="K7" s="5"/>
      <c r="L7" s="5"/>
      <c r="M7" s="5"/>
      <c r="N7" s="5"/>
    </row>
    <row r="8" spans="1:14" ht="14.25">
      <c r="A8" s="58"/>
      <c r="B8" s="58" t="s">
        <v>92</v>
      </c>
      <c r="C8" s="58">
        <v>1</v>
      </c>
      <c r="D8" s="73">
        <v>1</v>
      </c>
      <c r="E8" s="13">
        <f>6.6-2*(0.45-0.1)</f>
        <v>5.8999999999999995</v>
      </c>
      <c r="F8" s="74">
        <v>0.2</v>
      </c>
      <c r="G8" s="4">
        <v>0.55</v>
      </c>
      <c r="H8" s="4"/>
      <c r="I8" s="4">
        <v>1</v>
      </c>
      <c r="J8" s="4">
        <v>1</v>
      </c>
      <c r="K8" s="5"/>
      <c r="L8" s="5">
        <f>0.2*(0.4-0.1)</f>
        <v>0.06000000000000001</v>
      </c>
      <c r="M8" s="5">
        <f>+C8*D8*(E8*F8*G8-K8)</f>
        <v>0.649</v>
      </c>
      <c r="N8" s="5">
        <f>C8*D8*(E8*(F8+2*G8-I8*$I$4-J8*$J$4-H8*$H$4)-L8)/100</f>
        <v>0.06312000000000001</v>
      </c>
    </row>
    <row r="9" spans="1:14" ht="14.25">
      <c r="A9" s="58"/>
      <c r="B9" s="58"/>
      <c r="C9" s="58">
        <v>1</v>
      </c>
      <c r="D9" s="73">
        <v>1</v>
      </c>
      <c r="E9" s="13">
        <v>2.2</v>
      </c>
      <c r="F9" s="74">
        <v>0.2</v>
      </c>
      <c r="G9" s="4">
        <v>0.3</v>
      </c>
      <c r="H9" s="4"/>
      <c r="I9" s="4"/>
      <c r="J9" s="4">
        <v>2</v>
      </c>
      <c r="K9" s="5"/>
      <c r="L9" s="5">
        <f>0.3*(0.4-0.1)</f>
        <v>0.09000000000000001</v>
      </c>
      <c r="M9" s="5">
        <f>+C9*D9*(E9*F9*G9-K9)</f>
        <v>0.132</v>
      </c>
      <c r="N9" s="5">
        <f aca="true" t="shared" si="0" ref="N9:N34">C9*D9*(E9*(F9+2*G9-I9*$I$4-J9*$J$4-H9*$H$4)-L9)/100</f>
        <v>0.012300000000000002</v>
      </c>
    </row>
    <row r="10" spans="1:14" ht="14.25">
      <c r="A10" s="58"/>
      <c r="B10" s="58" t="s">
        <v>93</v>
      </c>
      <c r="C10" s="58">
        <v>1</v>
      </c>
      <c r="D10" s="73">
        <v>2</v>
      </c>
      <c r="E10" s="13">
        <f>6.6-2*(0.45-0.1)</f>
        <v>5.8999999999999995</v>
      </c>
      <c r="F10" s="74">
        <v>0.2</v>
      </c>
      <c r="G10" s="4">
        <v>0.55</v>
      </c>
      <c r="H10" s="4"/>
      <c r="I10" s="4">
        <v>2</v>
      </c>
      <c r="J10" s="4"/>
      <c r="K10" s="5"/>
      <c r="L10" s="5">
        <f>0.2*(0.3-0.12)</f>
        <v>0.036</v>
      </c>
      <c r="M10" s="5">
        <f>+C10*D10*(E10*F10*G10-K10)</f>
        <v>1.298</v>
      </c>
      <c r="N10" s="5">
        <f t="shared" si="0"/>
        <v>0.12436</v>
      </c>
    </row>
    <row r="11" spans="1:14" ht="14.25">
      <c r="A11" s="58"/>
      <c r="B11" s="58"/>
      <c r="C11" s="58">
        <v>1</v>
      </c>
      <c r="D11" s="73">
        <v>2</v>
      </c>
      <c r="E11" s="13">
        <f>+E9</f>
        <v>2.2</v>
      </c>
      <c r="F11" s="74">
        <v>0.2</v>
      </c>
      <c r="G11" s="4">
        <v>0.3</v>
      </c>
      <c r="H11" s="4"/>
      <c r="I11" s="4"/>
      <c r="J11" s="4">
        <v>2</v>
      </c>
      <c r="K11" s="5"/>
      <c r="L11" s="5"/>
      <c r="M11" s="5">
        <f>+C11*D11*(E11*F11*G11-K11)</f>
        <v>0.264</v>
      </c>
      <c r="N11" s="5">
        <f t="shared" si="0"/>
        <v>0.026400000000000007</v>
      </c>
    </row>
    <row r="12" spans="1:14" ht="14.25">
      <c r="A12" s="58"/>
      <c r="B12" s="58" t="s">
        <v>94</v>
      </c>
      <c r="C12" s="58">
        <v>1</v>
      </c>
      <c r="D12" s="73">
        <v>1</v>
      </c>
      <c r="E12" s="13">
        <f>6.6-2*(0.45-0.1)</f>
        <v>5.8999999999999995</v>
      </c>
      <c r="F12" s="74">
        <v>0.2</v>
      </c>
      <c r="G12" s="4">
        <v>0.55</v>
      </c>
      <c r="H12" s="4"/>
      <c r="I12" s="4">
        <v>2</v>
      </c>
      <c r="J12" s="4"/>
      <c r="K12" s="5"/>
      <c r="L12" s="5"/>
      <c r="M12" s="5">
        <f>+C12*D12*(E12*F12*G12-K12)</f>
        <v>0.649</v>
      </c>
      <c r="N12" s="5">
        <f t="shared" si="0"/>
        <v>0.06254</v>
      </c>
    </row>
    <row r="13" spans="1:14" ht="14.25">
      <c r="A13" s="58"/>
      <c r="B13" s="58"/>
      <c r="C13" s="58">
        <v>1</v>
      </c>
      <c r="D13" s="73">
        <v>1</v>
      </c>
      <c r="E13" s="13">
        <f>+E11</f>
        <v>2.2</v>
      </c>
      <c r="F13" s="74">
        <v>0.2</v>
      </c>
      <c r="G13" s="4">
        <v>0.3</v>
      </c>
      <c r="H13" s="4"/>
      <c r="I13" s="4"/>
      <c r="J13" s="4">
        <v>2</v>
      </c>
      <c r="K13" s="5"/>
      <c r="L13" s="5">
        <f>0.3*(0.4-0.1)</f>
        <v>0.09000000000000001</v>
      </c>
      <c r="M13" s="5">
        <f>+C13*D13*(E13*F13*G13-K13)</f>
        <v>0.132</v>
      </c>
      <c r="N13" s="5">
        <f t="shared" si="0"/>
        <v>0.012300000000000002</v>
      </c>
    </row>
    <row r="14" spans="1:14" ht="14.25">
      <c r="A14" s="58">
        <v>2</v>
      </c>
      <c r="B14" s="59" t="s">
        <v>95</v>
      </c>
      <c r="C14" s="58"/>
      <c r="D14" s="73"/>
      <c r="E14" s="13"/>
      <c r="F14" s="74"/>
      <c r="G14" s="4"/>
      <c r="H14" s="4"/>
      <c r="I14" s="4"/>
      <c r="J14" s="4"/>
      <c r="K14" s="5"/>
      <c r="L14" s="5"/>
      <c r="M14" s="5"/>
      <c r="N14" s="5">
        <f t="shared" si="0"/>
        <v>0</v>
      </c>
    </row>
    <row r="15" spans="1:14" ht="14.25">
      <c r="A15" s="58"/>
      <c r="B15" s="59"/>
      <c r="C15" s="58">
        <v>1</v>
      </c>
      <c r="D15" s="73">
        <v>2</v>
      </c>
      <c r="E15" s="13">
        <f>6.6-2*(0.45-0.1)</f>
        <v>5.8999999999999995</v>
      </c>
      <c r="F15" s="74">
        <v>0.2</v>
      </c>
      <c r="G15" s="4">
        <v>0.55</v>
      </c>
      <c r="H15" s="4">
        <v>1</v>
      </c>
      <c r="I15" s="4"/>
      <c r="J15" s="4">
        <v>1</v>
      </c>
      <c r="K15" s="5"/>
      <c r="L15" s="5">
        <f>0.2*(0.4-0.1)</f>
        <v>0.06000000000000001</v>
      </c>
      <c r="M15" s="5">
        <f>+C15*D15*(E15*F15*G15-K15)</f>
        <v>1.298</v>
      </c>
      <c r="N15" s="5">
        <f t="shared" si="0"/>
        <v>0.12269999999999999</v>
      </c>
    </row>
    <row r="16" spans="1:14" ht="14.25">
      <c r="A16" s="58"/>
      <c r="B16" s="59"/>
      <c r="C16" s="58">
        <v>1</v>
      </c>
      <c r="D16" s="73">
        <v>2</v>
      </c>
      <c r="E16" s="13">
        <f>1.8-0.2</f>
        <v>1.6</v>
      </c>
      <c r="F16" s="74">
        <v>0.2</v>
      </c>
      <c r="G16" s="4">
        <v>0.3</v>
      </c>
      <c r="H16" s="4">
        <v>1</v>
      </c>
      <c r="I16" s="4"/>
      <c r="J16" s="4">
        <v>1</v>
      </c>
      <c r="K16" s="5"/>
      <c r="L16" s="5"/>
      <c r="M16" s="5">
        <f>+C16*D16*(E16*F16*G16-K16)</f>
        <v>0.19200000000000003</v>
      </c>
      <c r="N16" s="5">
        <f t="shared" si="0"/>
        <v>0.0176</v>
      </c>
    </row>
    <row r="17" spans="1:14" ht="14.25">
      <c r="A17" s="58">
        <v>3</v>
      </c>
      <c r="B17" s="59" t="s">
        <v>96</v>
      </c>
      <c r="C17" s="58">
        <v>1</v>
      </c>
      <c r="D17" s="73">
        <v>2</v>
      </c>
      <c r="E17" s="13">
        <f>6.6-2*(0.45-0.1)</f>
        <v>5.8999999999999995</v>
      </c>
      <c r="F17" s="74">
        <v>0.2</v>
      </c>
      <c r="G17" s="4">
        <v>0.55</v>
      </c>
      <c r="H17" s="4"/>
      <c r="I17" s="4">
        <v>1</v>
      </c>
      <c r="J17" s="4"/>
      <c r="K17" s="5"/>
      <c r="L17" s="5">
        <f>0.2*(0.3-0.12)+0.2*0.4</f>
        <v>0.11600000000000002</v>
      </c>
      <c r="M17" s="5">
        <f>+C17*D17*(E17*F17*G17-K17)</f>
        <v>1.298</v>
      </c>
      <c r="N17" s="5">
        <f t="shared" si="0"/>
        <v>0.13692000000000001</v>
      </c>
    </row>
    <row r="18" spans="1:14" ht="14.25">
      <c r="A18" s="58"/>
      <c r="B18" s="59"/>
      <c r="C18" s="58">
        <v>1</v>
      </c>
      <c r="D18" s="73">
        <v>2</v>
      </c>
      <c r="E18" s="13">
        <f>2.4-2*0.1</f>
        <v>2.1999999999999997</v>
      </c>
      <c r="F18" s="74">
        <v>0.2</v>
      </c>
      <c r="G18" s="4">
        <v>0.3</v>
      </c>
      <c r="H18" s="4"/>
      <c r="I18" s="4"/>
      <c r="J18" s="4">
        <v>2</v>
      </c>
      <c r="K18" s="5"/>
      <c r="L18" s="5">
        <f>0.1*(0.4-0.1)</f>
        <v>0.030000000000000006</v>
      </c>
      <c r="M18" s="5">
        <f>+C18*D18*(E18*F18*G18-K18)</f>
        <v>0.26399999999999996</v>
      </c>
      <c r="N18" s="5">
        <f t="shared" si="0"/>
        <v>0.0258</v>
      </c>
    </row>
    <row r="19" spans="1:16" ht="14.25">
      <c r="A19" s="58"/>
      <c r="B19" s="59"/>
      <c r="C19" s="58">
        <v>1</v>
      </c>
      <c r="D19" s="73">
        <v>2</v>
      </c>
      <c r="E19" s="13">
        <f>3.3-2*0.1</f>
        <v>3.0999999999999996</v>
      </c>
      <c r="F19" s="74">
        <v>0.2</v>
      </c>
      <c r="G19" s="4">
        <v>0.3</v>
      </c>
      <c r="H19" s="4"/>
      <c r="I19" s="4">
        <v>2</v>
      </c>
      <c r="J19" s="4"/>
      <c r="K19" s="5"/>
      <c r="L19" s="5">
        <f>0.2*(0.4-0.12)</f>
        <v>0.05600000000000001</v>
      </c>
      <c r="M19" s="5">
        <f>+C19*D19*(E19*F19*G19-K19)</f>
        <v>0.372</v>
      </c>
      <c r="N19" s="5">
        <f t="shared" si="0"/>
        <v>0.0336</v>
      </c>
      <c r="P19" s="75"/>
    </row>
    <row r="20" spans="1:16" ht="14.25">
      <c r="A20" s="58">
        <v>4</v>
      </c>
      <c r="B20" s="59" t="s">
        <v>97</v>
      </c>
      <c r="C20" s="58"/>
      <c r="D20" s="73"/>
      <c r="E20" s="13"/>
      <c r="F20" s="74"/>
      <c r="G20" s="4"/>
      <c r="H20" s="4"/>
      <c r="I20" s="4"/>
      <c r="J20" s="4"/>
      <c r="K20" s="5"/>
      <c r="L20" s="5"/>
      <c r="M20" s="5"/>
      <c r="N20" s="5">
        <f t="shared" si="0"/>
        <v>0</v>
      </c>
      <c r="P20" s="75"/>
    </row>
    <row r="21" spans="1:14" ht="14.25">
      <c r="A21" s="58"/>
      <c r="B21" s="59" t="s">
        <v>98</v>
      </c>
      <c r="C21" s="58">
        <v>1</v>
      </c>
      <c r="D21" s="73">
        <v>2</v>
      </c>
      <c r="E21" s="13">
        <f>0.1+3.9+2*3.6+0.1+0.4+0.2+0.15</f>
        <v>12.049999999999999</v>
      </c>
      <c r="F21" s="74">
        <v>0.3</v>
      </c>
      <c r="G21" s="4">
        <v>0.3</v>
      </c>
      <c r="H21" s="4">
        <v>1</v>
      </c>
      <c r="I21" s="4"/>
      <c r="J21" s="4">
        <v>1</v>
      </c>
      <c r="K21" s="5">
        <f>4*0.2*0.2*0.4</f>
        <v>0.06400000000000002</v>
      </c>
      <c r="L21" s="5">
        <f>4*0.2*(0.4-0.1)+2*0.2*(0.4-0.1)+0.2*(0.3-0.1)</f>
        <v>0.4000000000000001</v>
      </c>
      <c r="M21" s="5">
        <f aca="true" t="shared" si="1" ref="M21:M34">+C21*D21*(E21*F21*G21-K21)</f>
        <v>2.0409999999999995</v>
      </c>
      <c r="N21" s="5">
        <f t="shared" si="0"/>
        <v>0.14864999999999995</v>
      </c>
    </row>
    <row r="22" spans="1:14" s="21" customFormat="1" ht="14.25">
      <c r="A22" s="58"/>
      <c r="B22" s="59" t="s">
        <v>51</v>
      </c>
      <c r="C22" s="58">
        <v>1</v>
      </c>
      <c r="D22" s="73">
        <v>2</v>
      </c>
      <c r="E22" s="13">
        <f>+E21</f>
        <v>12.049999999999999</v>
      </c>
      <c r="F22" s="74">
        <v>0.3</v>
      </c>
      <c r="G22" s="4">
        <v>0.3</v>
      </c>
      <c r="H22" s="4">
        <v>1</v>
      </c>
      <c r="I22" s="4"/>
      <c r="J22" s="4">
        <v>1</v>
      </c>
      <c r="K22" s="5">
        <f>4*0.2*0.2*0.4</f>
        <v>0.06400000000000002</v>
      </c>
      <c r="L22" s="5">
        <f>4*0.2*(0.4-0.1)+0.2*(0.4-0.1)+0.2*(0.3-0.1)</f>
        <v>0.34</v>
      </c>
      <c r="M22" s="5">
        <f t="shared" si="1"/>
        <v>2.0409999999999995</v>
      </c>
      <c r="N22" s="5">
        <f t="shared" si="0"/>
        <v>0.14984999999999996</v>
      </c>
    </row>
    <row r="23" spans="1:16" ht="14.25">
      <c r="A23" s="58">
        <v>5</v>
      </c>
      <c r="B23" s="59" t="s">
        <v>100</v>
      </c>
      <c r="C23" s="58">
        <v>1</v>
      </c>
      <c r="D23" s="73">
        <v>1</v>
      </c>
      <c r="E23" s="13">
        <f>4.2-0.2</f>
        <v>4</v>
      </c>
      <c r="F23" s="74">
        <v>0.2</v>
      </c>
      <c r="G23" s="4">
        <v>0.3</v>
      </c>
      <c r="H23" s="4"/>
      <c r="I23" s="4"/>
      <c r="J23" s="4"/>
      <c r="K23" s="5"/>
      <c r="L23" s="5">
        <f>2*0.2*0.4</f>
        <v>0.16000000000000003</v>
      </c>
      <c r="M23" s="5">
        <f t="shared" si="1"/>
        <v>0.24</v>
      </c>
      <c r="N23" s="5">
        <f t="shared" si="0"/>
        <v>0.0304</v>
      </c>
      <c r="P23" s="26"/>
    </row>
    <row r="24" spans="1:16" ht="14.25">
      <c r="A24" s="58"/>
      <c r="B24" s="59"/>
      <c r="C24" s="58">
        <v>1</v>
      </c>
      <c r="D24" s="73">
        <v>1</v>
      </c>
      <c r="E24" s="13">
        <f>4.2-0.2</f>
        <v>4</v>
      </c>
      <c r="F24" s="74">
        <v>0.2</v>
      </c>
      <c r="G24" s="4">
        <v>0.3</v>
      </c>
      <c r="H24" s="4"/>
      <c r="I24" s="4">
        <v>1</v>
      </c>
      <c r="J24" s="4"/>
      <c r="K24" s="5"/>
      <c r="L24" s="5"/>
      <c r="M24" s="5">
        <f t="shared" si="1"/>
        <v>0.24</v>
      </c>
      <c r="N24" s="5">
        <f t="shared" si="0"/>
        <v>0.027200000000000002</v>
      </c>
      <c r="P24" s="26"/>
    </row>
    <row r="25" spans="1:16" ht="14.25">
      <c r="A25" s="58"/>
      <c r="B25" s="59"/>
      <c r="C25" s="58">
        <v>1</v>
      </c>
      <c r="D25" s="73">
        <v>1</v>
      </c>
      <c r="E25" s="13">
        <f>+E24</f>
        <v>4</v>
      </c>
      <c r="F25" s="74">
        <v>0.2</v>
      </c>
      <c r="G25" s="4">
        <v>0.3</v>
      </c>
      <c r="H25" s="4"/>
      <c r="I25" s="4">
        <v>1</v>
      </c>
      <c r="J25" s="4">
        <v>1</v>
      </c>
      <c r="K25" s="5"/>
      <c r="L25" s="5"/>
      <c r="M25" s="5">
        <f t="shared" si="1"/>
        <v>0.24</v>
      </c>
      <c r="N25" s="5">
        <f t="shared" si="0"/>
        <v>0.023200000000000002</v>
      </c>
      <c r="P25" s="26"/>
    </row>
    <row r="26" spans="1:16" ht="14.25">
      <c r="A26" s="58"/>
      <c r="B26" s="59"/>
      <c r="C26" s="58">
        <v>1</v>
      </c>
      <c r="D26" s="73">
        <v>1</v>
      </c>
      <c r="E26" s="13">
        <f>+E25</f>
        <v>4</v>
      </c>
      <c r="F26" s="74">
        <v>0.2</v>
      </c>
      <c r="G26" s="4">
        <v>0.3</v>
      </c>
      <c r="H26" s="4"/>
      <c r="I26" s="4">
        <v>2</v>
      </c>
      <c r="J26" s="4"/>
      <c r="K26" s="5"/>
      <c r="L26" s="5"/>
      <c r="M26" s="5">
        <f t="shared" si="1"/>
        <v>0.24</v>
      </c>
      <c r="N26" s="5">
        <f t="shared" si="0"/>
        <v>0.022400000000000003</v>
      </c>
      <c r="P26" s="26"/>
    </row>
    <row r="27" spans="1:16" s="21" customFormat="1" ht="14.25">
      <c r="A27" s="58">
        <v>5</v>
      </c>
      <c r="B27" s="59" t="s">
        <v>101</v>
      </c>
      <c r="C27" s="58">
        <v>1</v>
      </c>
      <c r="D27" s="73">
        <v>1</v>
      </c>
      <c r="E27" s="13">
        <f>3.9-0.2</f>
        <v>3.6999999999999997</v>
      </c>
      <c r="F27" s="74">
        <v>0.2</v>
      </c>
      <c r="G27" s="59">
        <v>0.3</v>
      </c>
      <c r="H27" s="59"/>
      <c r="I27" s="59"/>
      <c r="J27" s="59">
        <v>2</v>
      </c>
      <c r="K27" s="13"/>
      <c r="L27" s="13">
        <f>2*0.2*(0.4-0.1)</f>
        <v>0.12000000000000002</v>
      </c>
      <c r="M27" s="13">
        <f t="shared" si="1"/>
        <v>0.222</v>
      </c>
      <c r="N27" s="5">
        <f t="shared" si="0"/>
        <v>0.021</v>
      </c>
      <c r="P27" s="60"/>
    </row>
    <row r="28" spans="1:16" ht="14.25">
      <c r="A28" s="58">
        <v>6</v>
      </c>
      <c r="B28" s="59" t="s">
        <v>102</v>
      </c>
      <c r="C28" s="58">
        <v>1</v>
      </c>
      <c r="D28" s="73">
        <v>1</v>
      </c>
      <c r="E28" s="13">
        <f>26.4-7*0.2</f>
        <v>25</v>
      </c>
      <c r="F28" s="74">
        <v>0.2</v>
      </c>
      <c r="G28" s="4">
        <v>0.3</v>
      </c>
      <c r="H28" s="4"/>
      <c r="I28" s="4">
        <v>1</v>
      </c>
      <c r="J28" s="4">
        <v>1</v>
      </c>
      <c r="K28" s="5"/>
      <c r="L28" s="5">
        <f>0.2*(0.4-0.1)</f>
        <v>0.06000000000000001</v>
      </c>
      <c r="M28" s="5">
        <f t="shared" si="1"/>
        <v>1.5</v>
      </c>
      <c r="N28" s="5">
        <f t="shared" si="0"/>
        <v>0.1444</v>
      </c>
      <c r="P28" s="26"/>
    </row>
    <row r="29" spans="1:16" ht="14.25">
      <c r="A29" s="58">
        <v>7</v>
      </c>
      <c r="B29" s="59" t="s">
        <v>103</v>
      </c>
      <c r="C29" s="58">
        <v>1</v>
      </c>
      <c r="D29" s="73">
        <v>1</v>
      </c>
      <c r="E29" s="13">
        <f>6.6-0.2*2</f>
        <v>6.199999999999999</v>
      </c>
      <c r="F29" s="74">
        <v>0.2</v>
      </c>
      <c r="G29" s="4">
        <v>0.3</v>
      </c>
      <c r="H29" s="4"/>
      <c r="I29" s="4"/>
      <c r="J29" s="4">
        <v>2</v>
      </c>
      <c r="K29" s="5"/>
      <c r="L29" s="5"/>
      <c r="M29" s="5">
        <f t="shared" si="1"/>
        <v>0.372</v>
      </c>
      <c r="N29" s="5">
        <f t="shared" si="0"/>
        <v>0.037200000000000004</v>
      </c>
      <c r="P29" s="26"/>
    </row>
    <row r="30" spans="1:16" ht="14.25">
      <c r="A30" s="58">
        <v>8</v>
      </c>
      <c r="B30" s="59" t="s">
        <v>104</v>
      </c>
      <c r="C30" s="58">
        <v>1</v>
      </c>
      <c r="D30" s="73">
        <v>2</v>
      </c>
      <c r="E30" s="13">
        <f>2*3.6-0.2*2</f>
        <v>6.8</v>
      </c>
      <c r="F30" s="74">
        <v>0.3</v>
      </c>
      <c r="G30" s="4">
        <v>0.3</v>
      </c>
      <c r="H30" s="4">
        <v>1</v>
      </c>
      <c r="I30" s="4"/>
      <c r="J30" s="4">
        <v>1</v>
      </c>
      <c r="K30" s="5">
        <f>2*0.2*0.2*0.4</f>
        <v>0.03200000000000001</v>
      </c>
      <c r="L30" s="5">
        <f>2*0.2*(0.4-0.1)</f>
        <v>0.12000000000000002</v>
      </c>
      <c r="M30" s="5">
        <f t="shared" si="1"/>
        <v>1.16</v>
      </c>
      <c r="N30" s="5">
        <f t="shared" si="0"/>
        <v>0.08599999999999998</v>
      </c>
      <c r="P30" s="26"/>
    </row>
    <row r="31" spans="1:16" ht="14.25">
      <c r="A31" s="58">
        <v>9</v>
      </c>
      <c r="B31" s="4" t="s">
        <v>105</v>
      </c>
      <c r="C31" s="58">
        <v>1</v>
      </c>
      <c r="D31" s="76">
        <v>2</v>
      </c>
      <c r="E31" s="5">
        <f>3.9-0.2</f>
        <v>3.6999999999999997</v>
      </c>
      <c r="F31" s="77">
        <v>0.3</v>
      </c>
      <c r="G31" s="4">
        <v>0.3</v>
      </c>
      <c r="H31" s="4">
        <v>1</v>
      </c>
      <c r="I31" s="4"/>
      <c r="J31" s="4">
        <v>1</v>
      </c>
      <c r="K31" s="5">
        <f>0.2*0.2*0.4</f>
        <v>0.016000000000000004</v>
      </c>
      <c r="L31" s="5">
        <f>0.2*(0.4-0.1)</f>
        <v>0.06000000000000001</v>
      </c>
      <c r="M31" s="5">
        <f t="shared" si="1"/>
        <v>0.6339999999999999</v>
      </c>
      <c r="N31" s="5">
        <f t="shared" si="0"/>
        <v>0.04689999999999998</v>
      </c>
      <c r="P31" s="26"/>
    </row>
    <row r="32" spans="1:16" ht="14.25" hidden="1">
      <c r="A32" s="58">
        <v>10</v>
      </c>
      <c r="B32" s="4" t="s">
        <v>106</v>
      </c>
      <c r="C32" s="58">
        <v>1</v>
      </c>
      <c r="D32" s="76">
        <v>0</v>
      </c>
      <c r="E32" s="5">
        <f>3.6-0.2</f>
        <v>3.4</v>
      </c>
      <c r="F32" s="77">
        <v>0.2</v>
      </c>
      <c r="G32" s="4">
        <v>0.3</v>
      </c>
      <c r="H32" s="4"/>
      <c r="I32" s="4">
        <v>1</v>
      </c>
      <c r="J32" s="4">
        <v>1</v>
      </c>
      <c r="K32" s="5"/>
      <c r="L32" s="5">
        <f>0.2*(0.3-0.1)</f>
        <v>0.04</v>
      </c>
      <c r="M32" s="5">
        <f t="shared" si="1"/>
        <v>0</v>
      </c>
      <c r="N32" s="5">
        <f t="shared" si="0"/>
        <v>0</v>
      </c>
      <c r="P32" s="26"/>
    </row>
    <row r="33" spans="1:16" ht="14.25" hidden="1">
      <c r="A33" s="58">
        <v>11</v>
      </c>
      <c r="B33" s="4" t="s">
        <v>107</v>
      </c>
      <c r="C33" s="58">
        <v>1</v>
      </c>
      <c r="D33" s="76">
        <v>0</v>
      </c>
      <c r="E33" s="5">
        <v>1.39</v>
      </c>
      <c r="F33" s="77">
        <v>0.2</v>
      </c>
      <c r="G33" s="4">
        <v>0.3</v>
      </c>
      <c r="H33" s="4"/>
      <c r="I33" s="4">
        <v>1</v>
      </c>
      <c r="J33" s="4">
        <v>1</v>
      </c>
      <c r="K33" s="5"/>
      <c r="L33" s="5"/>
      <c r="M33" s="5">
        <f t="shared" si="1"/>
        <v>0</v>
      </c>
      <c r="N33" s="5">
        <f t="shared" si="0"/>
        <v>0</v>
      </c>
      <c r="P33" s="26"/>
    </row>
    <row r="34" spans="1:16" ht="14.25">
      <c r="A34" s="58">
        <v>12</v>
      </c>
      <c r="B34" s="4" t="s">
        <v>108</v>
      </c>
      <c r="C34" s="58">
        <v>1</v>
      </c>
      <c r="D34" s="76">
        <v>2</v>
      </c>
      <c r="E34" s="5">
        <f>0.8-0.1</f>
        <v>0.7000000000000001</v>
      </c>
      <c r="F34" s="77">
        <v>0.2</v>
      </c>
      <c r="G34" s="4">
        <v>0.3</v>
      </c>
      <c r="H34" s="4"/>
      <c r="I34" s="4"/>
      <c r="J34" s="4"/>
      <c r="K34" s="5"/>
      <c r="L34" s="5"/>
      <c r="M34" s="5">
        <f t="shared" si="1"/>
        <v>0.084</v>
      </c>
      <c r="N34" s="5">
        <f t="shared" si="0"/>
        <v>0.011200000000000002</v>
      </c>
      <c r="P34" s="26"/>
    </row>
    <row r="35" spans="1:16" ht="15">
      <c r="A35" s="14"/>
      <c r="B35" s="11" t="s">
        <v>109</v>
      </c>
      <c r="C35" s="14"/>
      <c r="D35" s="78"/>
      <c r="E35" s="12"/>
      <c r="F35" s="79"/>
      <c r="G35" s="11"/>
      <c r="H35" s="11"/>
      <c r="I35" s="11"/>
      <c r="J35" s="11"/>
      <c r="K35" s="12"/>
      <c r="L35" s="12"/>
      <c r="M35" s="12"/>
      <c r="N35" s="12">
        <f>SUM(N36:N84)</f>
        <v>3.639580000000001</v>
      </c>
      <c r="P35" s="26"/>
    </row>
    <row r="36" spans="1:14" ht="15">
      <c r="A36" s="58"/>
      <c r="B36" s="72" t="s">
        <v>110</v>
      </c>
      <c r="C36" s="14"/>
      <c r="D36" s="76"/>
      <c r="E36" s="5"/>
      <c r="F36" s="77"/>
      <c r="G36" s="4"/>
      <c r="H36" s="4"/>
      <c r="I36" s="4"/>
      <c r="J36" s="4"/>
      <c r="K36" s="5"/>
      <c r="L36" s="5"/>
      <c r="M36" s="5"/>
      <c r="N36" s="5">
        <f>+C36*D36*(E36*(F36+2*G36-I36*$I$4-J36*$J$4-H36*$H$4)-L36)/100</f>
        <v>0</v>
      </c>
    </row>
    <row r="37" spans="1:14" ht="14.25">
      <c r="A37" s="58">
        <v>1</v>
      </c>
      <c r="B37" s="59" t="s">
        <v>91</v>
      </c>
      <c r="C37" s="58"/>
      <c r="D37" s="73"/>
      <c r="E37" s="13"/>
      <c r="F37" s="74"/>
      <c r="G37" s="4"/>
      <c r="H37" s="4"/>
      <c r="I37" s="4"/>
      <c r="J37" s="4"/>
      <c r="K37" s="5"/>
      <c r="L37" s="5"/>
      <c r="M37" s="5"/>
      <c r="N37" s="5"/>
    </row>
    <row r="38" spans="1:14" ht="14.25">
      <c r="A38" s="58"/>
      <c r="B38" s="58" t="s">
        <v>92</v>
      </c>
      <c r="C38" s="58">
        <v>2</v>
      </c>
      <c r="D38" s="73">
        <v>1</v>
      </c>
      <c r="E38" s="13">
        <f>6.6-2*(0.45-0.1)</f>
        <v>5.8999999999999995</v>
      </c>
      <c r="F38" s="74">
        <v>0.2</v>
      </c>
      <c r="G38" s="4">
        <v>0.55</v>
      </c>
      <c r="H38" s="4"/>
      <c r="I38" s="4">
        <v>1</v>
      </c>
      <c r="J38" s="4">
        <v>1</v>
      </c>
      <c r="K38" s="5"/>
      <c r="L38" s="5">
        <f>0.2*(0.4-0.1)</f>
        <v>0.06000000000000001</v>
      </c>
      <c r="M38" s="5">
        <f aca="true" t="shared" si="2" ref="M38:M43">+C38*D38*(E38*F38*G38-K38)</f>
        <v>1.298</v>
      </c>
      <c r="N38" s="5">
        <f aca="true" t="shared" si="3" ref="N38:N84">C38*D38*(E38*(F38+2*G38-I38*$I$4-J38*$J$4-H38*$H$4)-L38)/100</f>
        <v>0.12624000000000002</v>
      </c>
    </row>
    <row r="39" spans="1:14" ht="14.25">
      <c r="A39" s="58"/>
      <c r="B39" s="58"/>
      <c r="C39" s="58">
        <v>2</v>
      </c>
      <c r="D39" s="73">
        <v>1</v>
      </c>
      <c r="E39" s="13">
        <f>1.8+0.6-0.2</f>
        <v>2.1999999999999997</v>
      </c>
      <c r="F39" s="74">
        <v>0.2</v>
      </c>
      <c r="G39" s="4">
        <v>0.3</v>
      </c>
      <c r="H39" s="4"/>
      <c r="I39" s="4"/>
      <c r="J39" s="4">
        <v>2</v>
      </c>
      <c r="K39" s="5"/>
      <c r="L39" s="5">
        <f>0.2*(0.4-0.1)</f>
        <v>0.06000000000000001</v>
      </c>
      <c r="M39" s="5">
        <f t="shared" si="2"/>
        <v>0.26399999999999996</v>
      </c>
      <c r="N39" s="5">
        <f t="shared" si="3"/>
        <v>0.0252</v>
      </c>
    </row>
    <row r="40" spans="1:14" ht="14.25">
      <c r="A40" s="58"/>
      <c r="B40" s="58" t="s">
        <v>93</v>
      </c>
      <c r="C40" s="58">
        <v>2</v>
      </c>
      <c r="D40" s="73">
        <v>2</v>
      </c>
      <c r="E40" s="13">
        <f>+E38</f>
        <v>5.8999999999999995</v>
      </c>
      <c r="F40" s="74">
        <v>0.2</v>
      </c>
      <c r="G40" s="4">
        <f>+G38</f>
        <v>0.55</v>
      </c>
      <c r="H40" s="4"/>
      <c r="I40" s="4">
        <v>2</v>
      </c>
      <c r="J40" s="4"/>
      <c r="K40" s="5"/>
      <c r="L40" s="5">
        <f>0.2*(0.3-0.12)</f>
        <v>0.036</v>
      </c>
      <c r="M40" s="5">
        <f t="shared" si="2"/>
        <v>2.596</v>
      </c>
      <c r="N40" s="5">
        <f t="shared" si="3"/>
        <v>0.24872</v>
      </c>
    </row>
    <row r="41" spans="1:14" ht="14.25">
      <c r="A41" s="58"/>
      <c r="B41" s="58"/>
      <c r="C41" s="58">
        <v>2</v>
      </c>
      <c r="D41" s="73">
        <v>2</v>
      </c>
      <c r="E41" s="13">
        <f>+E39</f>
        <v>2.1999999999999997</v>
      </c>
      <c r="F41" s="74">
        <v>0.2</v>
      </c>
      <c r="G41" s="4">
        <v>0.3</v>
      </c>
      <c r="H41" s="4"/>
      <c r="I41" s="4"/>
      <c r="J41" s="4">
        <v>2</v>
      </c>
      <c r="K41" s="5"/>
      <c r="L41" s="5"/>
      <c r="M41" s="5">
        <f t="shared" si="2"/>
        <v>0.5279999999999999</v>
      </c>
      <c r="N41" s="5">
        <f t="shared" si="3"/>
        <v>0.0528</v>
      </c>
    </row>
    <row r="42" spans="1:14" ht="14.25">
      <c r="A42" s="58"/>
      <c r="B42" s="58" t="s">
        <v>94</v>
      </c>
      <c r="C42" s="58">
        <v>2</v>
      </c>
      <c r="D42" s="73">
        <v>1</v>
      </c>
      <c r="E42" s="13">
        <f>+E40</f>
        <v>5.8999999999999995</v>
      </c>
      <c r="F42" s="74">
        <v>0.2</v>
      </c>
      <c r="G42" s="4">
        <f>+G40</f>
        <v>0.55</v>
      </c>
      <c r="H42" s="4"/>
      <c r="I42" s="4">
        <v>2</v>
      </c>
      <c r="J42" s="4"/>
      <c r="K42" s="5"/>
      <c r="L42" s="5"/>
      <c r="M42" s="5">
        <f t="shared" si="2"/>
        <v>1.298</v>
      </c>
      <c r="N42" s="5">
        <f t="shared" si="3"/>
        <v>0.12508</v>
      </c>
    </row>
    <row r="43" spans="1:14" ht="14.25">
      <c r="A43" s="58"/>
      <c r="B43" s="58"/>
      <c r="C43" s="58">
        <v>2</v>
      </c>
      <c r="D43" s="73">
        <v>1</v>
      </c>
      <c r="E43" s="13">
        <f>+E39</f>
        <v>2.1999999999999997</v>
      </c>
      <c r="F43" s="74">
        <v>0.2</v>
      </c>
      <c r="G43" s="4">
        <v>0.3</v>
      </c>
      <c r="H43" s="4"/>
      <c r="I43" s="4"/>
      <c r="J43" s="4">
        <v>2</v>
      </c>
      <c r="K43" s="5"/>
      <c r="L43" s="5">
        <f>0.2*(0.4-0.1)</f>
        <v>0.06000000000000001</v>
      </c>
      <c r="M43" s="5">
        <f t="shared" si="2"/>
        <v>0.26399999999999996</v>
      </c>
      <c r="N43" s="5">
        <f t="shared" si="3"/>
        <v>0.0252</v>
      </c>
    </row>
    <row r="44" spans="1:14" s="21" customFormat="1" ht="14.25">
      <c r="A44" s="58">
        <v>2</v>
      </c>
      <c r="B44" s="59" t="s">
        <v>95</v>
      </c>
      <c r="C44" s="58">
        <v>2</v>
      </c>
      <c r="D44" s="73"/>
      <c r="E44" s="13"/>
      <c r="F44" s="74"/>
      <c r="G44" s="59"/>
      <c r="H44" s="59"/>
      <c r="I44" s="59"/>
      <c r="J44" s="59"/>
      <c r="K44" s="13"/>
      <c r="L44" s="13"/>
      <c r="M44" s="13"/>
      <c r="N44" s="5">
        <f t="shared" si="3"/>
        <v>0</v>
      </c>
    </row>
    <row r="45" spans="1:14" ht="14.25">
      <c r="A45" s="58"/>
      <c r="B45" s="59"/>
      <c r="C45" s="58">
        <v>2</v>
      </c>
      <c r="D45" s="73">
        <v>2</v>
      </c>
      <c r="E45" s="13">
        <f>+E42</f>
        <v>5.8999999999999995</v>
      </c>
      <c r="F45" s="74">
        <v>0.2</v>
      </c>
      <c r="G45" s="4">
        <v>0.55</v>
      </c>
      <c r="H45" s="4"/>
      <c r="I45" s="4"/>
      <c r="J45" s="4">
        <v>1</v>
      </c>
      <c r="K45" s="5"/>
      <c r="L45" s="5">
        <f>0.2*(0.4-0.1)</f>
        <v>0.06000000000000001</v>
      </c>
      <c r="M45" s="5">
        <f>+C45*D45*(E45*F45*G45-K45)</f>
        <v>2.596</v>
      </c>
      <c r="N45" s="5">
        <f t="shared" si="3"/>
        <v>0.2808</v>
      </c>
    </row>
    <row r="46" spans="1:14" ht="14.25">
      <c r="A46" s="58"/>
      <c r="B46" s="59"/>
      <c r="C46" s="58">
        <v>2</v>
      </c>
      <c r="D46" s="73">
        <v>2</v>
      </c>
      <c r="E46" s="13">
        <f>1.8-0.2</f>
        <v>1.6</v>
      </c>
      <c r="F46" s="74">
        <v>0.2</v>
      </c>
      <c r="G46" s="4">
        <v>0.3</v>
      </c>
      <c r="H46" s="4"/>
      <c r="I46" s="4"/>
      <c r="J46" s="4">
        <v>1</v>
      </c>
      <c r="K46" s="5"/>
      <c r="L46" s="5"/>
      <c r="M46" s="5">
        <f>+C46*D46*(E46*F46*G46-K46)</f>
        <v>0.38400000000000006</v>
      </c>
      <c r="N46" s="5">
        <f t="shared" si="3"/>
        <v>0.044800000000000006</v>
      </c>
    </row>
    <row r="47" spans="1:14" s="21" customFormat="1" ht="14.25">
      <c r="A47" s="58">
        <v>3</v>
      </c>
      <c r="B47" s="59" t="s">
        <v>111</v>
      </c>
      <c r="C47" s="58">
        <v>2</v>
      </c>
      <c r="D47" s="73">
        <v>2</v>
      </c>
      <c r="E47" s="13">
        <f>+E45</f>
        <v>5.8999999999999995</v>
      </c>
      <c r="F47" s="74">
        <v>0.2</v>
      </c>
      <c r="G47" s="59">
        <v>0.55</v>
      </c>
      <c r="H47" s="59"/>
      <c r="I47" s="59">
        <v>1</v>
      </c>
      <c r="J47" s="59"/>
      <c r="K47" s="13"/>
      <c r="L47" s="13">
        <f>2*0.2*0.4</f>
        <v>0.16000000000000003</v>
      </c>
      <c r="M47" s="13">
        <f>+C47*D47*(E47*F47*G47-K47)</f>
        <v>2.596</v>
      </c>
      <c r="N47" s="5">
        <f t="shared" si="3"/>
        <v>0.27208000000000004</v>
      </c>
    </row>
    <row r="48" spans="1:14" ht="14.25">
      <c r="A48" s="58"/>
      <c r="B48" s="59"/>
      <c r="C48" s="58">
        <v>2</v>
      </c>
      <c r="D48" s="73">
        <v>2</v>
      </c>
      <c r="E48" s="13">
        <f>2.4-0.2</f>
        <v>2.1999999999999997</v>
      </c>
      <c r="F48" s="74">
        <v>0.2</v>
      </c>
      <c r="G48" s="4">
        <v>0.3</v>
      </c>
      <c r="H48" s="4"/>
      <c r="I48" s="4"/>
      <c r="J48" s="4">
        <v>2</v>
      </c>
      <c r="K48" s="5"/>
      <c r="L48" s="5">
        <f>0.1*(0.4-0.1)</f>
        <v>0.030000000000000006</v>
      </c>
      <c r="M48" s="5">
        <f>+C48*D48*(E48*F48*G48-K48)</f>
        <v>0.5279999999999999</v>
      </c>
      <c r="N48" s="5">
        <f t="shared" si="3"/>
        <v>0.0516</v>
      </c>
    </row>
    <row r="49" spans="1:16" ht="14.25">
      <c r="A49" s="58"/>
      <c r="B49" s="59"/>
      <c r="C49" s="58">
        <v>2</v>
      </c>
      <c r="D49" s="73">
        <v>2</v>
      </c>
      <c r="E49" s="13">
        <f>0.8-0.1</f>
        <v>0.7000000000000001</v>
      </c>
      <c r="F49" s="74">
        <v>0.2</v>
      </c>
      <c r="G49" s="4">
        <v>0.3</v>
      </c>
      <c r="H49" s="4"/>
      <c r="I49" s="4">
        <v>1</v>
      </c>
      <c r="J49" s="4"/>
      <c r="K49" s="5"/>
      <c r="L49" s="5">
        <f>0.2*0.4</f>
        <v>0.08000000000000002</v>
      </c>
      <c r="M49" s="5">
        <f>+C49*D49*(E49*F49*G49-K49)</f>
        <v>0.168</v>
      </c>
      <c r="N49" s="5">
        <f t="shared" si="3"/>
        <v>0.015840000000000003</v>
      </c>
      <c r="P49" s="75"/>
    </row>
    <row r="50" spans="1:16" ht="14.25">
      <c r="A50" s="58">
        <v>4</v>
      </c>
      <c r="B50" s="59" t="s">
        <v>112</v>
      </c>
      <c r="C50" s="58"/>
      <c r="D50" s="73"/>
      <c r="E50" s="13"/>
      <c r="F50" s="74"/>
      <c r="G50" s="4"/>
      <c r="H50" s="4"/>
      <c r="I50" s="4"/>
      <c r="J50" s="4"/>
      <c r="K50" s="5"/>
      <c r="L50" s="5"/>
      <c r="M50" s="5"/>
      <c r="N50" s="5">
        <f t="shared" si="3"/>
        <v>0</v>
      </c>
      <c r="P50" s="75"/>
    </row>
    <row r="51" spans="1:14" s="21" customFormat="1" ht="14.25">
      <c r="A51" s="58"/>
      <c r="B51" s="59" t="s">
        <v>98</v>
      </c>
      <c r="C51" s="58">
        <v>2</v>
      </c>
      <c r="D51" s="73">
        <v>2</v>
      </c>
      <c r="E51" s="13">
        <f>3.9+2*3.6+0.7-4*0.2-0.1</f>
        <v>10.899999999999999</v>
      </c>
      <c r="F51" s="74">
        <v>0.2</v>
      </c>
      <c r="G51" s="59">
        <v>0.3</v>
      </c>
      <c r="H51" s="59"/>
      <c r="I51" s="59"/>
      <c r="J51" s="59">
        <v>1</v>
      </c>
      <c r="K51" s="13"/>
      <c r="L51" s="13">
        <f>+(1.35+1.35-0.1+1.2-0.1+1.2-0.1+0.3-0.1+0.77+1.4-0.2)*0.12+2*(3.6-0.2)*0.02+0.2*0.3+0.2*0.3</f>
        <v>1.0924</v>
      </c>
      <c r="M51" s="13">
        <f aca="true" t="shared" si="4" ref="M51:M80">+C51*D51*(E51*F51*G51-K51)</f>
        <v>2.6159999999999997</v>
      </c>
      <c r="N51" s="5">
        <f t="shared" si="3"/>
        <v>0.26150399999999996</v>
      </c>
    </row>
    <row r="52" spans="1:14" s="21" customFormat="1" ht="14.25">
      <c r="A52" s="58"/>
      <c r="B52" s="59" t="s">
        <v>99</v>
      </c>
      <c r="C52" s="58">
        <v>2</v>
      </c>
      <c r="D52" s="73">
        <v>2</v>
      </c>
      <c r="E52" s="13">
        <f>+E51</f>
        <v>10.899999999999999</v>
      </c>
      <c r="F52" s="74">
        <v>0.2</v>
      </c>
      <c r="G52" s="59">
        <v>0.3</v>
      </c>
      <c r="H52" s="59"/>
      <c r="I52" s="59">
        <v>1</v>
      </c>
      <c r="J52" s="59"/>
      <c r="K52" s="13"/>
      <c r="L52" s="13">
        <f>+(1.4-0.2+0.77+1.53-0.2+2.55-0.2+1.46-0.2)*0.12</f>
        <v>0.8291999999999998</v>
      </c>
      <c r="M52" s="13">
        <f t="shared" si="4"/>
        <v>2.6159999999999997</v>
      </c>
      <c r="N52" s="5">
        <f t="shared" si="3"/>
        <v>0.263312</v>
      </c>
    </row>
    <row r="53" spans="1:16" ht="14.25">
      <c r="A53" s="58">
        <v>5</v>
      </c>
      <c r="B53" s="59" t="s">
        <v>100</v>
      </c>
      <c r="C53" s="58">
        <v>2</v>
      </c>
      <c r="D53" s="73">
        <v>1</v>
      </c>
      <c r="E53" s="13">
        <f>4.2-0.2</f>
        <v>4</v>
      </c>
      <c r="F53" s="74">
        <v>0.2</v>
      </c>
      <c r="G53" s="4">
        <v>0.3</v>
      </c>
      <c r="H53" s="4"/>
      <c r="I53" s="4"/>
      <c r="J53" s="4"/>
      <c r="K53" s="5"/>
      <c r="L53" s="5">
        <f>2*0.2*0.4</f>
        <v>0.16000000000000003</v>
      </c>
      <c r="M53" s="5">
        <f t="shared" si="4"/>
        <v>0.48</v>
      </c>
      <c r="N53" s="5">
        <f t="shared" si="3"/>
        <v>0.0608</v>
      </c>
      <c r="P53" s="26"/>
    </row>
    <row r="54" spans="1:16" ht="14.25">
      <c r="A54" s="58"/>
      <c r="B54" s="59"/>
      <c r="C54" s="58">
        <v>2</v>
      </c>
      <c r="D54" s="73">
        <v>1</v>
      </c>
      <c r="E54" s="13">
        <f>4.2-0.2</f>
        <v>4</v>
      </c>
      <c r="F54" s="74">
        <v>0.2</v>
      </c>
      <c r="G54" s="4">
        <v>0.3</v>
      </c>
      <c r="H54" s="4"/>
      <c r="I54" s="4">
        <v>1</v>
      </c>
      <c r="J54" s="4"/>
      <c r="K54" s="5"/>
      <c r="L54" s="5"/>
      <c r="M54" s="5">
        <f t="shared" si="4"/>
        <v>0.48</v>
      </c>
      <c r="N54" s="5">
        <f t="shared" si="3"/>
        <v>0.054400000000000004</v>
      </c>
      <c r="P54" s="26"/>
    </row>
    <row r="55" spans="1:16" ht="14.25">
      <c r="A55" s="58"/>
      <c r="B55" s="59"/>
      <c r="C55" s="58">
        <v>2</v>
      </c>
      <c r="D55" s="73">
        <v>1</v>
      </c>
      <c r="E55" s="13">
        <f>+E54</f>
        <v>4</v>
      </c>
      <c r="F55" s="74">
        <v>0.2</v>
      </c>
      <c r="G55" s="4">
        <v>0.3</v>
      </c>
      <c r="H55" s="4"/>
      <c r="I55" s="4"/>
      <c r="J55" s="4">
        <v>1</v>
      </c>
      <c r="K55" s="5"/>
      <c r="L55" s="5"/>
      <c r="M55" s="5">
        <f t="shared" si="4"/>
        <v>0.48</v>
      </c>
      <c r="N55" s="5">
        <f t="shared" si="3"/>
        <v>0.05600000000000001</v>
      </c>
      <c r="P55" s="26"/>
    </row>
    <row r="56" spans="1:16" s="21" customFormat="1" ht="14.25">
      <c r="A56" s="58">
        <v>6</v>
      </c>
      <c r="B56" s="59" t="s">
        <v>101</v>
      </c>
      <c r="C56" s="58">
        <v>2</v>
      </c>
      <c r="D56" s="73">
        <v>1</v>
      </c>
      <c r="E56" s="13">
        <f>3.9-0.2</f>
        <v>3.6999999999999997</v>
      </c>
      <c r="F56" s="74">
        <v>0.2</v>
      </c>
      <c r="G56" s="59">
        <v>0.3</v>
      </c>
      <c r="H56" s="59"/>
      <c r="I56" s="59"/>
      <c r="J56" s="59">
        <v>2</v>
      </c>
      <c r="K56" s="13"/>
      <c r="L56" s="13">
        <f>2*0.2*(0.4-0.1)</f>
        <v>0.12000000000000002</v>
      </c>
      <c r="M56" s="13">
        <f t="shared" si="4"/>
        <v>0.444</v>
      </c>
      <c r="N56" s="5">
        <f t="shared" si="3"/>
        <v>0.042</v>
      </c>
      <c r="P56" s="60"/>
    </row>
    <row r="57" spans="1:16" ht="14.25">
      <c r="A57" s="58">
        <v>7</v>
      </c>
      <c r="B57" s="59" t="s">
        <v>102</v>
      </c>
      <c r="C57" s="58">
        <v>2</v>
      </c>
      <c r="D57" s="73">
        <v>1</v>
      </c>
      <c r="E57" s="13">
        <f>26.4-7*0.2</f>
        <v>25</v>
      </c>
      <c r="F57" s="74">
        <v>0.2</v>
      </c>
      <c r="G57" s="4">
        <v>0.3</v>
      </c>
      <c r="H57" s="4"/>
      <c r="I57" s="4">
        <v>1</v>
      </c>
      <c r="J57" s="4">
        <v>1</v>
      </c>
      <c r="K57" s="5"/>
      <c r="L57" s="5">
        <f>0.2*(0.4-0.1)</f>
        <v>0.06000000000000001</v>
      </c>
      <c r="M57" s="5">
        <f t="shared" si="4"/>
        <v>3</v>
      </c>
      <c r="N57" s="5">
        <f t="shared" si="3"/>
        <v>0.2888</v>
      </c>
      <c r="P57" s="26"/>
    </row>
    <row r="58" spans="1:16" ht="14.25">
      <c r="A58" s="58">
        <v>8</v>
      </c>
      <c r="B58" s="59" t="s">
        <v>103</v>
      </c>
      <c r="C58" s="58">
        <v>2</v>
      </c>
      <c r="D58" s="73">
        <v>1</v>
      </c>
      <c r="E58" s="13">
        <f>6.6-0.2*2</f>
        <v>6.199999999999999</v>
      </c>
      <c r="F58" s="74">
        <v>0.2</v>
      </c>
      <c r="G58" s="4">
        <v>0.3</v>
      </c>
      <c r="H58" s="4"/>
      <c r="I58" s="4"/>
      <c r="J58" s="4">
        <v>2</v>
      </c>
      <c r="K58" s="5"/>
      <c r="L58" s="5"/>
      <c r="M58" s="5">
        <f t="shared" si="4"/>
        <v>0.744</v>
      </c>
      <c r="N58" s="5">
        <f t="shared" si="3"/>
        <v>0.07440000000000001</v>
      </c>
      <c r="P58" s="26"/>
    </row>
    <row r="59" spans="1:16" ht="14.25">
      <c r="A59" s="58">
        <v>9</v>
      </c>
      <c r="B59" s="59" t="s">
        <v>113</v>
      </c>
      <c r="C59" s="58">
        <v>2</v>
      </c>
      <c r="D59" s="73">
        <v>2</v>
      </c>
      <c r="E59" s="13">
        <f>2*(3.6-0.2)</f>
        <v>6.8</v>
      </c>
      <c r="F59" s="74">
        <v>0.2</v>
      </c>
      <c r="G59" s="4">
        <v>0.3</v>
      </c>
      <c r="H59" s="4"/>
      <c r="I59" s="4"/>
      <c r="J59" s="4">
        <v>1</v>
      </c>
      <c r="K59" s="5"/>
      <c r="L59" s="5">
        <f>3*(0.44-0.1)*0.12+(0.8-0.2-0.1)*0.12+0.2*0.4</f>
        <v>0.2624</v>
      </c>
      <c r="M59" s="5">
        <f t="shared" si="4"/>
        <v>1.6320000000000001</v>
      </c>
      <c r="N59" s="5">
        <f t="shared" si="3"/>
        <v>0.179904</v>
      </c>
      <c r="P59" s="26"/>
    </row>
    <row r="60" spans="1:16" ht="14.25">
      <c r="A60" s="58">
        <v>10</v>
      </c>
      <c r="B60" s="4" t="s">
        <v>114</v>
      </c>
      <c r="C60" s="58">
        <v>2</v>
      </c>
      <c r="D60" s="76">
        <v>2</v>
      </c>
      <c r="E60" s="5">
        <f>3.9-0.2</f>
        <v>3.6999999999999997</v>
      </c>
      <c r="F60" s="77">
        <v>0.2</v>
      </c>
      <c r="G60" s="4">
        <v>0.3</v>
      </c>
      <c r="H60" s="4"/>
      <c r="I60" s="4"/>
      <c r="J60" s="4">
        <v>1</v>
      </c>
      <c r="K60" s="5"/>
      <c r="L60" s="5">
        <f>2*(0.44-0.1)</f>
        <v>0.6799999999999999</v>
      </c>
      <c r="M60" s="5">
        <f t="shared" si="4"/>
        <v>0.888</v>
      </c>
      <c r="N60" s="5">
        <f t="shared" si="3"/>
        <v>0.0764</v>
      </c>
      <c r="P60" s="26"/>
    </row>
    <row r="61" spans="1:16" ht="14.25">
      <c r="A61" s="58">
        <v>11</v>
      </c>
      <c r="B61" s="4" t="s">
        <v>106</v>
      </c>
      <c r="C61" s="58">
        <v>2</v>
      </c>
      <c r="D61" s="76">
        <v>0</v>
      </c>
      <c r="E61" s="5">
        <f>3.6-0.2</f>
        <v>3.4</v>
      </c>
      <c r="F61" s="77">
        <v>0.2</v>
      </c>
      <c r="G61" s="4">
        <v>0.3</v>
      </c>
      <c r="H61" s="4"/>
      <c r="I61" s="4">
        <v>1</v>
      </c>
      <c r="J61" s="4">
        <v>1</v>
      </c>
      <c r="K61" s="5"/>
      <c r="L61" s="5">
        <f>0.2*(0.3-0.1)</f>
        <v>0.04</v>
      </c>
      <c r="M61" s="5">
        <f t="shared" si="4"/>
        <v>0</v>
      </c>
      <c r="N61" s="5">
        <f t="shared" si="3"/>
        <v>0</v>
      </c>
      <c r="P61" s="26"/>
    </row>
    <row r="62" spans="1:16" ht="14.25">
      <c r="A62" s="58">
        <v>12</v>
      </c>
      <c r="B62" s="4" t="s">
        <v>108</v>
      </c>
      <c r="C62" s="58">
        <v>2</v>
      </c>
      <c r="D62" s="76">
        <v>2</v>
      </c>
      <c r="E62" s="5">
        <f>0.8-0.1</f>
        <v>0.7000000000000001</v>
      </c>
      <c r="F62" s="77">
        <v>0.2</v>
      </c>
      <c r="G62" s="4">
        <v>0.3</v>
      </c>
      <c r="H62" s="4"/>
      <c r="I62" s="4"/>
      <c r="J62" s="4"/>
      <c r="K62" s="5"/>
      <c r="L62" s="5"/>
      <c r="M62" s="5">
        <f t="shared" si="4"/>
        <v>0.168</v>
      </c>
      <c r="N62" s="5">
        <f t="shared" si="3"/>
        <v>0.022400000000000003</v>
      </c>
      <c r="P62" s="26"/>
    </row>
    <row r="63" spans="1:14" ht="14.25">
      <c r="A63" s="58">
        <v>13</v>
      </c>
      <c r="B63" s="59" t="s">
        <v>115</v>
      </c>
      <c r="C63" s="58">
        <v>2</v>
      </c>
      <c r="D63" s="73">
        <v>2</v>
      </c>
      <c r="E63" s="13">
        <f>0.8-0.1+0.8-0.2-0.1</f>
        <v>1.2</v>
      </c>
      <c r="F63" s="74">
        <v>0.2</v>
      </c>
      <c r="G63" s="4">
        <v>0.3</v>
      </c>
      <c r="H63" s="4"/>
      <c r="I63" s="4"/>
      <c r="J63" s="4"/>
      <c r="K63" s="5"/>
      <c r="L63" s="5"/>
      <c r="M63" s="5">
        <f t="shared" si="4"/>
        <v>0.288</v>
      </c>
      <c r="N63" s="5">
        <f t="shared" si="3"/>
        <v>0.0384</v>
      </c>
    </row>
    <row r="64" spans="1:14" ht="15">
      <c r="A64" s="58"/>
      <c r="B64" s="80" t="s">
        <v>116</v>
      </c>
      <c r="C64" s="58"/>
      <c r="D64" s="73"/>
      <c r="E64" s="13"/>
      <c r="F64" s="74"/>
      <c r="G64" s="4"/>
      <c r="H64" s="4"/>
      <c r="I64" s="4"/>
      <c r="J64" s="4"/>
      <c r="K64" s="5"/>
      <c r="L64" s="5"/>
      <c r="M64" s="5">
        <f t="shared" si="4"/>
        <v>0</v>
      </c>
      <c r="N64" s="5">
        <f t="shared" si="3"/>
        <v>0</v>
      </c>
    </row>
    <row r="65" spans="1:14" ht="14.25">
      <c r="A65" s="58">
        <v>1</v>
      </c>
      <c r="B65" s="81" t="s">
        <v>117</v>
      </c>
      <c r="C65" s="58">
        <v>1</v>
      </c>
      <c r="D65" s="73">
        <v>2</v>
      </c>
      <c r="E65" s="13">
        <f>6.6-(0.45-0.1)</f>
        <v>6.25</v>
      </c>
      <c r="F65" s="74">
        <v>0.2</v>
      </c>
      <c r="G65" s="4">
        <v>0.55</v>
      </c>
      <c r="H65" s="4"/>
      <c r="I65" s="4">
        <v>2</v>
      </c>
      <c r="J65" s="4"/>
      <c r="K65" s="5"/>
      <c r="L65" s="5"/>
      <c r="M65" s="5">
        <f t="shared" si="4"/>
        <v>1.375</v>
      </c>
      <c r="N65" s="5">
        <f t="shared" si="3"/>
        <v>0.1325</v>
      </c>
    </row>
    <row r="66" spans="1:14" ht="14.25">
      <c r="A66" s="58"/>
      <c r="B66" s="81"/>
      <c r="C66" s="58">
        <v>1</v>
      </c>
      <c r="D66" s="73">
        <v>2</v>
      </c>
      <c r="E66" s="13">
        <f>1.8+0.6-0.2</f>
        <v>2.1999999999999997</v>
      </c>
      <c r="F66" s="74">
        <v>0.2</v>
      </c>
      <c r="G66" s="4">
        <v>0.3</v>
      </c>
      <c r="H66" s="4"/>
      <c r="I66" s="4">
        <v>2</v>
      </c>
      <c r="J66" s="4"/>
      <c r="K66" s="5"/>
      <c r="L66" s="5"/>
      <c r="M66" s="5">
        <f t="shared" si="4"/>
        <v>0.26399999999999996</v>
      </c>
      <c r="N66" s="5">
        <f t="shared" si="3"/>
        <v>0.02464</v>
      </c>
    </row>
    <row r="67" spans="1:14" ht="14.25">
      <c r="A67" s="58">
        <v>2</v>
      </c>
      <c r="B67" s="81" t="s">
        <v>118</v>
      </c>
      <c r="C67" s="58">
        <v>1</v>
      </c>
      <c r="D67" s="73">
        <v>2</v>
      </c>
      <c r="E67" s="13">
        <f>6.6-0.35</f>
        <v>6.25</v>
      </c>
      <c r="F67" s="74">
        <v>0.2</v>
      </c>
      <c r="G67" s="4">
        <v>0.55</v>
      </c>
      <c r="H67" s="4"/>
      <c r="I67" s="4">
        <v>2</v>
      </c>
      <c r="J67" s="4"/>
      <c r="K67" s="5"/>
      <c r="L67" s="5"/>
      <c r="M67" s="5">
        <f t="shared" si="4"/>
        <v>1.375</v>
      </c>
      <c r="N67" s="5">
        <f t="shared" si="3"/>
        <v>0.1325</v>
      </c>
    </row>
    <row r="68" spans="1:14" ht="14.25">
      <c r="A68" s="58">
        <v>3</v>
      </c>
      <c r="B68" s="81"/>
      <c r="C68" s="58">
        <v>1</v>
      </c>
      <c r="D68" s="73">
        <v>2</v>
      </c>
      <c r="E68" s="13">
        <f>2.4-0.2</f>
        <v>2.1999999999999997</v>
      </c>
      <c r="F68" s="74">
        <v>0.2</v>
      </c>
      <c r="G68" s="4">
        <v>0.3</v>
      </c>
      <c r="H68" s="4"/>
      <c r="I68" s="4">
        <v>2</v>
      </c>
      <c r="J68" s="4"/>
      <c r="K68" s="5"/>
      <c r="L68" s="5"/>
      <c r="M68" s="5">
        <f t="shared" si="4"/>
        <v>0.26399999999999996</v>
      </c>
      <c r="N68" s="5">
        <f t="shared" si="3"/>
        <v>0.02464</v>
      </c>
    </row>
    <row r="69" spans="1:14" ht="14.25">
      <c r="A69" s="58"/>
      <c r="B69" s="81" t="s">
        <v>119</v>
      </c>
      <c r="C69" s="58">
        <v>1</v>
      </c>
      <c r="D69" s="73">
        <v>2</v>
      </c>
      <c r="E69" s="13">
        <f>6.6-(0.45-0.1)</f>
        <v>6.25</v>
      </c>
      <c r="F69" s="74">
        <v>0.2</v>
      </c>
      <c r="G69" s="4">
        <v>0.55</v>
      </c>
      <c r="H69" s="4"/>
      <c r="I69" s="4">
        <v>1</v>
      </c>
      <c r="J69" s="4">
        <v>1</v>
      </c>
      <c r="K69" s="5"/>
      <c r="L69" s="5"/>
      <c r="M69" s="5">
        <f t="shared" si="4"/>
        <v>1.375</v>
      </c>
      <c r="N69" s="5">
        <f t="shared" si="3"/>
        <v>0.135</v>
      </c>
    </row>
    <row r="70" spans="1:14" ht="14.25">
      <c r="A70" s="58">
        <v>4</v>
      </c>
      <c r="B70" s="81"/>
      <c r="C70" s="58">
        <v>1</v>
      </c>
      <c r="D70" s="73">
        <v>2</v>
      </c>
      <c r="E70" s="13">
        <f>1.8+0.6-0.2</f>
        <v>2.1999999999999997</v>
      </c>
      <c r="F70" s="74">
        <v>0.2</v>
      </c>
      <c r="G70" s="4">
        <v>0.3</v>
      </c>
      <c r="H70" s="4"/>
      <c r="I70" s="4">
        <v>1</v>
      </c>
      <c r="J70" s="4">
        <v>1</v>
      </c>
      <c r="K70" s="5"/>
      <c r="L70" s="5"/>
      <c r="M70" s="5">
        <f t="shared" si="4"/>
        <v>0.26399999999999996</v>
      </c>
      <c r="N70" s="5">
        <f t="shared" si="3"/>
        <v>0.02552</v>
      </c>
    </row>
    <row r="71" spans="1:14" ht="14.25">
      <c r="A71" s="58"/>
      <c r="B71" s="81" t="s">
        <v>120</v>
      </c>
      <c r="C71" s="58">
        <v>1</v>
      </c>
      <c r="D71" s="73">
        <v>2</v>
      </c>
      <c r="E71" s="13">
        <f>+E69</f>
        <v>6.25</v>
      </c>
      <c r="F71" s="74">
        <v>0.2</v>
      </c>
      <c r="G71" s="4">
        <v>0.55</v>
      </c>
      <c r="H71" s="4"/>
      <c r="I71" s="4">
        <v>2</v>
      </c>
      <c r="J71" s="4"/>
      <c r="K71" s="5"/>
      <c r="L71" s="5"/>
      <c r="M71" s="5">
        <f t="shared" si="4"/>
        <v>1.375</v>
      </c>
      <c r="N71" s="5">
        <f t="shared" si="3"/>
        <v>0.1325</v>
      </c>
    </row>
    <row r="72" spans="1:14" ht="14.25">
      <c r="A72" s="58"/>
      <c r="B72" s="81"/>
      <c r="C72" s="58">
        <v>1</v>
      </c>
      <c r="D72" s="73">
        <v>2</v>
      </c>
      <c r="E72" s="13">
        <f>2.4-0.2</f>
        <v>2.1999999999999997</v>
      </c>
      <c r="F72" s="74">
        <v>0.2</v>
      </c>
      <c r="G72" s="4">
        <v>0.3</v>
      </c>
      <c r="H72" s="4"/>
      <c r="I72" s="4">
        <v>2</v>
      </c>
      <c r="J72" s="4"/>
      <c r="K72" s="5"/>
      <c r="L72" s="5">
        <f>0.2*(0.4-0.12)</f>
        <v>0.05600000000000001</v>
      </c>
      <c r="M72" s="5">
        <f t="shared" si="4"/>
        <v>0.26399999999999996</v>
      </c>
      <c r="N72" s="5">
        <f t="shared" si="3"/>
        <v>0.02352</v>
      </c>
    </row>
    <row r="73" spans="1:14" ht="14.25">
      <c r="A73" s="58">
        <v>5</v>
      </c>
      <c r="B73" s="81"/>
      <c r="C73" s="58">
        <v>1</v>
      </c>
      <c r="D73" s="73">
        <v>2</v>
      </c>
      <c r="E73" s="13">
        <v>0.7</v>
      </c>
      <c r="F73" s="74">
        <v>0.2</v>
      </c>
      <c r="G73" s="4">
        <v>0.3</v>
      </c>
      <c r="H73" s="4"/>
      <c r="I73" s="4">
        <v>1</v>
      </c>
      <c r="J73" s="4"/>
      <c r="K73" s="5"/>
      <c r="L73" s="5">
        <f>2*0.2*0.48</f>
        <v>0.192</v>
      </c>
      <c r="M73" s="5">
        <f t="shared" si="4"/>
        <v>0.08399999999999999</v>
      </c>
      <c r="N73" s="5">
        <f t="shared" si="3"/>
        <v>0.005679999999999999</v>
      </c>
    </row>
    <row r="74" spans="1:16" ht="14.25">
      <c r="A74" s="58">
        <v>6</v>
      </c>
      <c r="B74" s="81" t="s">
        <v>237</v>
      </c>
      <c r="C74" s="58">
        <v>1</v>
      </c>
      <c r="D74" s="73">
        <v>1</v>
      </c>
      <c r="E74" s="13">
        <f>26.4-7*0.2</f>
        <v>25</v>
      </c>
      <c r="F74" s="74">
        <v>0.2</v>
      </c>
      <c r="G74" s="4">
        <v>0.3</v>
      </c>
      <c r="H74" s="4"/>
      <c r="I74" s="4">
        <v>1</v>
      </c>
      <c r="J74" s="4">
        <v>1</v>
      </c>
      <c r="K74" s="5"/>
      <c r="L74" s="5"/>
      <c r="M74" s="5">
        <f t="shared" si="4"/>
        <v>1.5</v>
      </c>
      <c r="N74" s="5">
        <f t="shared" si="3"/>
        <v>0.14500000000000002</v>
      </c>
      <c r="P74" s="75"/>
    </row>
    <row r="75" spans="1:14" ht="14.25">
      <c r="A75" s="58">
        <v>7</v>
      </c>
      <c r="B75" s="81" t="s">
        <v>238</v>
      </c>
      <c r="C75" s="58">
        <v>1</v>
      </c>
      <c r="D75" s="73">
        <v>0</v>
      </c>
      <c r="E75" s="13">
        <f>+SQRT(4.5^2+4.5^2)-0.2</f>
        <v>6.163961030678927</v>
      </c>
      <c r="F75" s="74">
        <v>0.2</v>
      </c>
      <c r="G75" s="4">
        <v>0.3</v>
      </c>
      <c r="H75" s="4"/>
      <c r="I75" s="4">
        <v>2</v>
      </c>
      <c r="J75" s="4"/>
      <c r="K75" s="5"/>
      <c r="L75" s="5"/>
      <c r="M75" s="5">
        <f t="shared" si="4"/>
        <v>0</v>
      </c>
      <c r="N75" s="5">
        <f t="shared" si="3"/>
        <v>0</v>
      </c>
    </row>
    <row r="76" spans="1:14" ht="14.25">
      <c r="A76" s="58">
        <v>8</v>
      </c>
      <c r="B76" s="81" t="s">
        <v>239</v>
      </c>
      <c r="C76" s="58">
        <v>1</v>
      </c>
      <c r="D76" s="73">
        <v>0</v>
      </c>
      <c r="E76" s="13">
        <f>26.4-9*0.2</f>
        <v>24.599999999999998</v>
      </c>
      <c r="F76" s="74">
        <v>0.2</v>
      </c>
      <c r="G76" s="4">
        <v>0.3</v>
      </c>
      <c r="H76" s="4"/>
      <c r="I76" s="4">
        <v>2</v>
      </c>
      <c r="J76" s="4"/>
      <c r="K76" s="5"/>
      <c r="L76" s="5">
        <f>0.2*0.3</f>
        <v>0.06</v>
      </c>
      <c r="M76" s="5">
        <f t="shared" si="4"/>
        <v>0</v>
      </c>
      <c r="N76" s="5">
        <f t="shared" si="3"/>
        <v>0</v>
      </c>
    </row>
    <row r="77" spans="1:14" ht="14.25">
      <c r="A77" s="58">
        <v>9</v>
      </c>
      <c r="B77" s="81" t="s">
        <v>240</v>
      </c>
      <c r="C77" s="58">
        <v>1</v>
      </c>
      <c r="D77" s="73">
        <v>2</v>
      </c>
      <c r="E77" s="13">
        <f>2*(3.6-0.2)</f>
        <v>6.8</v>
      </c>
      <c r="F77" s="74">
        <v>0.2</v>
      </c>
      <c r="G77" s="4">
        <v>0.3</v>
      </c>
      <c r="H77" s="4"/>
      <c r="I77" s="4">
        <v>1</v>
      </c>
      <c r="J77" s="4">
        <v>1</v>
      </c>
      <c r="K77" s="5"/>
      <c r="L77" s="5"/>
      <c r="M77" s="5">
        <f t="shared" si="4"/>
        <v>0.8160000000000001</v>
      </c>
      <c r="N77" s="5">
        <f t="shared" si="3"/>
        <v>0.07888</v>
      </c>
    </row>
    <row r="78" spans="1:14" ht="14.25">
      <c r="A78" s="58">
        <v>10</v>
      </c>
      <c r="B78" s="81" t="s">
        <v>241</v>
      </c>
      <c r="C78" s="58">
        <v>1</v>
      </c>
      <c r="D78" s="73">
        <v>2</v>
      </c>
      <c r="E78" s="13">
        <f>3.9-0.2</f>
        <v>3.6999999999999997</v>
      </c>
      <c r="F78" s="74">
        <v>0.2</v>
      </c>
      <c r="G78" s="4">
        <v>0.3</v>
      </c>
      <c r="H78" s="4"/>
      <c r="I78" s="4">
        <v>1</v>
      </c>
      <c r="J78" s="4">
        <v>1</v>
      </c>
      <c r="K78" s="5"/>
      <c r="L78" s="5"/>
      <c r="M78" s="5">
        <f t="shared" si="4"/>
        <v>0.444</v>
      </c>
      <c r="N78" s="5">
        <f t="shared" si="3"/>
        <v>0.04292</v>
      </c>
    </row>
    <row r="79" spans="1:14" ht="14.25">
      <c r="A79" s="58">
        <v>11</v>
      </c>
      <c r="B79" s="81" t="s">
        <v>242</v>
      </c>
      <c r="C79" s="58">
        <v>1</v>
      </c>
      <c r="D79" s="73">
        <v>1</v>
      </c>
      <c r="E79" s="13">
        <f>4.2-0.2</f>
        <v>4</v>
      </c>
      <c r="F79" s="74">
        <v>0.2</v>
      </c>
      <c r="G79" s="4">
        <v>0.3</v>
      </c>
      <c r="H79" s="4"/>
      <c r="I79" s="4">
        <v>1</v>
      </c>
      <c r="J79" s="4"/>
      <c r="K79" s="5"/>
      <c r="L79" s="5"/>
      <c r="M79" s="5">
        <f t="shared" si="4"/>
        <v>0.24</v>
      </c>
      <c r="N79" s="5">
        <f t="shared" si="3"/>
        <v>0.027200000000000002</v>
      </c>
    </row>
    <row r="80" spans="1:14" ht="14.25">
      <c r="A80" s="58">
        <v>12</v>
      </c>
      <c r="B80" s="81" t="s">
        <v>243</v>
      </c>
      <c r="C80" s="58">
        <v>1</v>
      </c>
      <c r="D80" s="73">
        <v>2</v>
      </c>
      <c r="E80" s="13">
        <f>0.7+0.8-0.1</f>
        <v>1.4</v>
      </c>
      <c r="F80" s="74">
        <v>0.2</v>
      </c>
      <c r="G80" s="4">
        <v>0.3</v>
      </c>
      <c r="H80" s="4"/>
      <c r="I80" s="4"/>
      <c r="J80" s="4"/>
      <c r="K80" s="5"/>
      <c r="L80" s="5"/>
      <c r="M80" s="5">
        <f t="shared" si="4"/>
        <v>0.16799999999999998</v>
      </c>
      <c r="N80" s="5">
        <f t="shared" si="3"/>
        <v>0.022399999999999996</v>
      </c>
    </row>
    <row r="81" spans="1:14" ht="14.25" hidden="1">
      <c r="A81" s="19"/>
      <c r="B81" s="81" t="s">
        <v>141</v>
      </c>
      <c r="C81" s="58">
        <v>1</v>
      </c>
      <c r="D81" s="73">
        <v>0</v>
      </c>
      <c r="E81" s="13">
        <f>2.4-0.2</f>
        <v>2.1999999999999997</v>
      </c>
      <c r="F81" s="74">
        <v>0.2</v>
      </c>
      <c r="G81" s="4">
        <v>0.4</v>
      </c>
      <c r="H81" s="4"/>
      <c r="I81" s="4">
        <v>2</v>
      </c>
      <c r="J81" s="4"/>
      <c r="K81" s="5"/>
      <c r="L81" s="18"/>
      <c r="M81" s="5"/>
      <c r="N81" s="5">
        <f t="shared" si="3"/>
        <v>0</v>
      </c>
    </row>
    <row r="82" spans="1:15" ht="14.25" hidden="1">
      <c r="A82" s="19">
        <v>1</v>
      </c>
      <c r="B82" s="85" t="s">
        <v>244</v>
      </c>
      <c r="C82" s="19"/>
      <c r="D82" s="83">
        <v>2</v>
      </c>
      <c r="E82" s="20">
        <f>0.81+0.71</f>
        <v>1.52</v>
      </c>
      <c r="F82" s="84">
        <v>0.2</v>
      </c>
      <c r="G82" s="17">
        <v>0.7</v>
      </c>
      <c r="H82" s="17"/>
      <c r="I82" s="17">
        <v>2</v>
      </c>
      <c r="J82" s="17"/>
      <c r="K82" s="18"/>
      <c r="L82" s="18"/>
      <c r="M82" s="5">
        <f>+C82*D82*(E82*F82*G82-K82)</f>
        <v>0</v>
      </c>
      <c r="N82" s="5">
        <f t="shared" si="3"/>
        <v>0</v>
      </c>
      <c r="O82" s="104"/>
    </row>
    <row r="83" spans="1:15" ht="14.25" hidden="1">
      <c r="A83" s="19">
        <v>2</v>
      </c>
      <c r="B83" s="85" t="s">
        <v>245</v>
      </c>
      <c r="C83" s="19"/>
      <c r="D83" s="83">
        <v>2</v>
      </c>
      <c r="E83" s="20">
        <v>2.24</v>
      </c>
      <c r="F83" s="84">
        <v>0.2</v>
      </c>
      <c r="G83" s="17">
        <v>0.7</v>
      </c>
      <c r="H83" s="17"/>
      <c r="I83" s="17">
        <v>2</v>
      </c>
      <c r="J83" s="17"/>
      <c r="K83" s="18"/>
      <c r="L83" s="18"/>
      <c r="M83" s="5">
        <f>+C83*D83*(E83*F83*G83-K83)</f>
        <v>0</v>
      </c>
      <c r="N83" s="5">
        <f t="shared" si="3"/>
        <v>0</v>
      </c>
      <c r="O83" s="104"/>
    </row>
    <row r="84" spans="1:15" ht="14.25" hidden="1">
      <c r="A84" s="19"/>
      <c r="B84" s="85"/>
      <c r="C84" s="19"/>
      <c r="D84" s="83">
        <v>2</v>
      </c>
      <c r="E84" s="20">
        <v>2.24</v>
      </c>
      <c r="F84" s="84">
        <v>0.3</v>
      </c>
      <c r="G84" s="17">
        <v>0.12</v>
      </c>
      <c r="H84" s="17"/>
      <c r="I84" s="17">
        <v>1</v>
      </c>
      <c r="J84" s="17"/>
      <c r="K84" s="18"/>
      <c r="L84" s="18"/>
      <c r="M84" s="5">
        <f>+C84*D84*(E84*F84*G84-K84)</f>
        <v>0</v>
      </c>
      <c r="N84" s="5">
        <f t="shared" si="3"/>
        <v>0</v>
      </c>
      <c r="O84" s="104"/>
    </row>
    <row r="85" spans="1:14" ht="15" hidden="1">
      <c r="A85" s="19"/>
      <c r="B85" s="82" t="s">
        <v>246</v>
      </c>
      <c r="C85" s="19"/>
      <c r="D85" s="83"/>
      <c r="E85" s="20"/>
      <c r="F85" s="84"/>
      <c r="G85" s="17"/>
      <c r="H85" s="17"/>
      <c r="I85" s="17"/>
      <c r="J85" s="17"/>
      <c r="K85" s="18"/>
      <c r="L85" s="18"/>
      <c r="M85" s="5"/>
      <c r="N85" s="5"/>
    </row>
    <row r="86" spans="1:14" ht="15" hidden="1">
      <c r="A86" s="19">
        <v>1</v>
      </c>
      <c r="B86" s="85" t="s">
        <v>149</v>
      </c>
      <c r="C86" s="19"/>
      <c r="D86" s="83"/>
      <c r="E86" s="20"/>
      <c r="F86" s="84"/>
      <c r="G86" s="17"/>
      <c r="H86" s="17"/>
      <c r="I86" s="17"/>
      <c r="J86" s="17"/>
      <c r="K86" s="18"/>
      <c r="L86" s="18"/>
      <c r="M86" s="12">
        <f>SUM(M87:M91)</f>
        <v>0</v>
      </c>
      <c r="N86" s="12">
        <f>SUM(N87:N91)</f>
        <v>0</v>
      </c>
    </row>
    <row r="87" spans="1:14" ht="14.25" hidden="1">
      <c r="A87" s="19"/>
      <c r="B87" s="85" t="s">
        <v>24</v>
      </c>
      <c r="C87" s="19"/>
      <c r="D87" s="83">
        <v>2</v>
      </c>
      <c r="E87" s="20">
        <f>7.2+1.8-0.2</f>
        <v>8.8</v>
      </c>
      <c r="F87" s="84">
        <v>0.2</v>
      </c>
      <c r="G87" s="17">
        <v>0.1</v>
      </c>
      <c r="H87" s="17"/>
      <c r="I87" s="17"/>
      <c r="J87" s="17"/>
      <c r="K87" s="18"/>
      <c r="L87" s="18"/>
      <c r="M87" s="5">
        <f>+C87*D87*(E87*F87*G87-K87)</f>
        <v>0</v>
      </c>
      <c r="N87" s="5">
        <f>+C87*D87*E87*2*G87/100</f>
        <v>0</v>
      </c>
    </row>
    <row r="88" spans="1:14" ht="14.25" hidden="1">
      <c r="A88" s="19"/>
      <c r="B88" s="85" t="s">
        <v>247</v>
      </c>
      <c r="C88" s="19"/>
      <c r="D88" s="83">
        <v>6</v>
      </c>
      <c r="E88" s="20">
        <f>2*4.95</f>
        <v>9.9</v>
      </c>
      <c r="F88" s="84">
        <v>0.2</v>
      </c>
      <c r="G88" s="17">
        <v>0.1</v>
      </c>
      <c r="H88" s="17"/>
      <c r="I88" s="17"/>
      <c r="J88" s="17"/>
      <c r="K88" s="18"/>
      <c r="L88" s="18"/>
      <c r="M88" s="5">
        <f>+C88*D88*(E88*F88*G88-K88)</f>
        <v>0</v>
      </c>
      <c r="N88" s="5">
        <f>+C88*D88*E88*2*G88/100</f>
        <v>0</v>
      </c>
    </row>
    <row r="89" spans="1:14" ht="14.25" hidden="1">
      <c r="A89" s="19">
        <v>2</v>
      </c>
      <c r="B89" s="85" t="s">
        <v>150</v>
      </c>
      <c r="C89" s="19"/>
      <c r="D89" s="83">
        <v>2</v>
      </c>
      <c r="E89" s="20">
        <f>26.4+0.2</f>
        <v>26.599999999999998</v>
      </c>
      <c r="F89" s="84">
        <v>0.2</v>
      </c>
      <c r="G89" s="17">
        <v>0.1</v>
      </c>
      <c r="H89" s="17"/>
      <c r="I89" s="17"/>
      <c r="J89" s="17"/>
      <c r="K89" s="18"/>
      <c r="L89" s="18"/>
      <c r="M89" s="5">
        <f>+C89*D89*(E89*F89*G89-K89)</f>
        <v>0</v>
      </c>
      <c r="N89" s="5">
        <f>+C89*D89*E89*2*G89/100</f>
        <v>0</v>
      </c>
    </row>
    <row r="90" spans="1:14" ht="14.25" hidden="1">
      <c r="A90" s="19">
        <v>3</v>
      </c>
      <c r="B90" s="85" t="s">
        <v>248</v>
      </c>
      <c r="C90" s="19"/>
      <c r="D90" s="83">
        <v>4</v>
      </c>
      <c r="E90" s="20">
        <f>+(6.2^2+1.78^2)^0.5</f>
        <v>6.450457348126565</v>
      </c>
      <c r="F90" s="84">
        <v>0.2</v>
      </c>
      <c r="G90" s="17">
        <v>0.1</v>
      </c>
      <c r="H90" s="17"/>
      <c r="I90" s="17"/>
      <c r="J90" s="17"/>
      <c r="K90" s="18"/>
      <c r="L90" s="18"/>
      <c r="M90" s="5">
        <f>+C90*D90*(E90*F90*G90-K90)</f>
        <v>0</v>
      </c>
      <c r="N90" s="5">
        <f>+C90*D90*E90*2*G90/100</f>
        <v>0</v>
      </c>
    </row>
    <row r="91" spans="1:14" ht="14.25" hidden="1">
      <c r="A91" s="19">
        <v>4</v>
      </c>
      <c r="B91" s="85" t="s">
        <v>249</v>
      </c>
      <c r="C91" s="19"/>
      <c r="D91" s="83">
        <v>2</v>
      </c>
      <c r="E91" s="20">
        <f>+((3.9+0.6-0.2)^2+1.78^2)^0.5</f>
        <v>4.653858614096479</v>
      </c>
      <c r="F91" s="84">
        <v>0.2</v>
      </c>
      <c r="G91" s="17">
        <v>0.1</v>
      </c>
      <c r="H91" s="17"/>
      <c r="I91" s="17"/>
      <c r="J91" s="17"/>
      <c r="K91" s="18"/>
      <c r="L91" s="18"/>
      <c r="M91" s="5">
        <f>+C91*D91*(E91*F91*G91-K91)</f>
        <v>0</v>
      </c>
      <c r="N91" s="5">
        <f>+C91*D91*E91*2*G91/100</f>
        <v>0</v>
      </c>
    </row>
    <row r="92" spans="1:14" ht="14.25">
      <c r="A92" s="19"/>
      <c r="B92" s="85"/>
      <c r="C92" s="19"/>
      <c r="D92" s="83"/>
      <c r="E92" s="20"/>
      <c r="F92" s="84"/>
      <c r="G92" s="17"/>
      <c r="H92" s="17"/>
      <c r="I92" s="17"/>
      <c r="J92" s="17"/>
      <c r="K92" s="18"/>
      <c r="L92" s="18"/>
      <c r="M92" s="5"/>
      <c r="N92" s="5"/>
    </row>
    <row r="93" spans="1:14" ht="14.25">
      <c r="A93" s="19"/>
      <c r="B93" s="85"/>
      <c r="C93" s="19"/>
      <c r="D93" s="83"/>
      <c r="E93" s="20"/>
      <c r="F93" s="84"/>
      <c r="G93" s="17"/>
      <c r="H93" s="17"/>
      <c r="I93" s="17"/>
      <c r="J93" s="17"/>
      <c r="K93" s="18"/>
      <c r="L93" s="18"/>
      <c r="M93" s="5"/>
      <c r="N93" s="5"/>
    </row>
    <row r="94" spans="1:14" ht="14.25">
      <c r="A94" s="22"/>
      <c r="B94" s="23"/>
      <c r="C94" s="22"/>
      <c r="D94" s="24"/>
      <c r="E94" s="24"/>
      <c r="F94" s="86"/>
      <c r="G94" s="23"/>
      <c r="H94" s="23"/>
      <c r="I94" s="23"/>
      <c r="J94" s="23"/>
      <c r="K94" s="24"/>
      <c r="L94" s="24"/>
      <c r="M94" s="24"/>
      <c r="N94" s="24"/>
    </row>
  </sheetData>
  <sheetProtection/>
  <mergeCells count="11">
    <mergeCell ref="N3:N4"/>
    <mergeCell ref="A1:N1"/>
    <mergeCell ref="C3:C4"/>
    <mergeCell ref="A3:A4"/>
    <mergeCell ref="B3:B4"/>
    <mergeCell ref="D3:D4"/>
    <mergeCell ref="E3:G3"/>
    <mergeCell ref="L3:L4"/>
    <mergeCell ref="H3:J3"/>
    <mergeCell ref="K3:K4"/>
    <mergeCell ref="M3:M4"/>
  </mergeCells>
  <printOptions/>
  <pageMargins left="1.15" right="0.21" top="0.79" bottom="0.4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1"/>
  <sheetViews>
    <sheetView zoomScaleSheetLayoutView="100" zoomScalePageLayoutView="0" workbookViewId="0" topLeftCell="A1">
      <pane xSplit="2" ySplit="4" topLeftCell="C5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I7" sqref="I7"/>
    </sheetView>
  </sheetViews>
  <sheetFormatPr defaultColWidth="9.140625" defaultRowHeight="12.75"/>
  <cols>
    <col min="1" max="1" width="5.140625" style="25" customWidth="1"/>
    <col min="2" max="2" width="21.140625" style="28" bestFit="1" customWidth="1"/>
    <col min="3" max="3" width="6.7109375" style="25" bestFit="1" customWidth="1"/>
    <col min="4" max="4" width="7.57421875" style="26" bestFit="1" customWidth="1"/>
    <col min="5" max="5" width="8.7109375" style="26" bestFit="1" customWidth="1"/>
    <col min="6" max="6" width="7.28125" style="29" customWidth="1"/>
    <col min="7" max="8" width="7.57421875" style="2" customWidth="1"/>
    <col min="9" max="10" width="10.00390625" style="26" customWidth="1"/>
    <col min="11" max="11" width="14.8515625" style="2" hidden="1" customWidth="1"/>
    <col min="12" max="12" width="0" style="2" hidden="1" customWidth="1"/>
    <col min="13" max="20" width="9.140625" style="2" customWidth="1"/>
    <col min="21" max="21" width="11.28125" style="2" bestFit="1" customWidth="1"/>
    <col min="22" max="16384" width="9.140625" style="2" customWidth="1"/>
  </cols>
  <sheetData>
    <row r="1" spans="1:12" ht="16.5">
      <c r="A1" s="285" t="s">
        <v>250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3" spans="1:12" ht="21" customHeight="1">
      <c r="A3" s="288" t="s">
        <v>1</v>
      </c>
      <c r="B3" s="286" t="s">
        <v>137</v>
      </c>
      <c r="C3" s="286" t="s">
        <v>73</v>
      </c>
      <c r="D3" s="288" t="s">
        <v>74</v>
      </c>
      <c r="E3" s="289" t="s">
        <v>75</v>
      </c>
      <c r="F3" s="289"/>
      <c r="G3" s="289"/>
      <c r="H3" s="295" t="s">
        <v>251</v>
      </c>
      <c r="I3" s="290" t="s">
        <v>85</v>
      </c>
      <c r="J3" s="290" t="s">
        <v>86</v>
      </c>
      <c r="K3" s="297" t="s">
        <v>252</v>
      </c>
      <c r="L3" s="297" t="s">
        <v>253</v>
      </c>
    </row>
    <row r="4" spans="1:12" ht="22.5" customHeight="1">
      <c r="A4" s="288"/>
      <c r="B4" s="287"/>
      <c r="C4" s="287"/>
      <c r="D4" s="288" t="s">
        <v>87</v>
      </c>
      <c r="E4" s="62" t="s">
        <v>254</v>
      </c>
      <c r="F4" s="64" t="s">
        <v>88</v>
      </c>
      <c r="G4" s="62" t="s">
        <v>222</v>
      </c>
      <c r="H4" s="296"/>
      <c r="I4" s="291"/>
      <c r="J4" s="291"/>
      <c r="K4" s="298"/>
      <c r="L4" s="298"/>
    </row>
    <row r="5" spans="1:12" s="93" customFormat="1" ht="16.5" customHeight="1">
      <c r="A5" s="87"/>
      <c r="B5" s="88" t="s">
        <v>89</v>
      </c>
      <c r="C5" s="87"/>
      <c r="D5" s="87"/>
      <c r="E5" s="89"/>
      <c r="F5" s="90"/>
      <c r="G5" s="89"/>
      <c r="H5" s="89"/>
      <c r="I5" s="91">
        <f>SUM(I6:I80)*0.9</f>
        <v>93.12837300000001</v>
      </c>
      <c r="J5" s="91">
        <f>+J6+J32</f>
        <v>9.42076</v>
      </c>
      <c r="K5" s="92"/>
      <c r="L5" s="92"/>
    </row>
    <row r="6" spans="1:12" ht="15">
      <c r="A6" s="58">
        <v>1</v>
      </c>
      <c r="B6" s="80" t="s">
        <v>90</v>
      </c>
      <c r="C6" s="14"/>
      <c r="D6" s="73"/>
      <c r="E6" s="13"/>
      <c r="F6" s="74"/>
      <c r="G6" s="4"/>
      <c r="H6" s="4"/>
      <c r="I6" s="5"/>
      <c r="J6" s="12">
        <f>SUM(J7:J31)</f>
        <v>2.4625</v>
      </c>
      <c r="K6" s="4"/>
      <c r="L6" s="4"/>
    </row>
    <row r="7" spans="1:12" ht="14.25">
      <c r="A7" s="58"/>
      <c r="B7" s="94" t="s">
        <v>255</v>
      </c>
      <c r="C7" s="58">
        <v>1</v>
      </c>
      <c r="D7" s="73">
        <v>1</v>
      </c>
      <c r="E7" s="13">
        <f>6.6-0.2*2</f>
        <v>6.199999999999999</v>
      </c>
      <c r="F7" s="74">
        <f>3.9-0.2</f>
        <v>3.6999999999999997</v>
      </c>
      <c r="G7" s="4">
        <v>0.1</v>
      </c>
      <c r="H7" s="4"/>
      <c r="I7" s="5">
        <f aca="true" t="shared" si="0" ref="I7:I15">+C7*D7*E7*F7*G7</f>
        <v>2.2939999999999996</v>
      </c>
      <c r="J7" s="5">
        <f aca="true" t="shared" si="1" ref="J7:J15">+C7*D7*E7*F7/100</f>
        <v>0.22939999999999994</v>
      </c>
      <c r="K7" s="4"/>
      <c r="L7" s="95"/>
    </row>
    <row r="8" spans="1:12" ht="14.25">
      <c r="A8" s="58"/>
      <c r="B8" s="94" t="s">
        <v>256</v>
      </c>
      <c r="C8" s="58">
        <v>1</v>
      </c>
      <c r="D8" s="73">
        <v>1</v>
      </c>
      <c r="E8" s="13">
        <f>+(2*3.6+3.9-3*0.2)</f>
        <v>10.5</v>
      </c>
      <c r="F8" s="74">
        <f>6.6-0.2</f>
        <v>6.3999999999999995</v>
      </c>
      <c r="G8" s="4">
        <v>0.12</v>
      </c>
      <c r="H8" s="4"/>
      <c r="I8" s="5">
        <f t="shared" si="0"/>
        <v>8.063999999999998</v>
      </c>
      <c r="J8" s="5">
        <f t="shared" si="1"/>
        <v>0.6719999999999999</v>
      </c>
      <c r="K8" s="4"/>
      <c r="L8" s="96"/>
    </row>
    <row r="9" spans="1:12" ht="14.25">
      <c r="A9" s="58"/>
      <c r="B9" s="94" t="s">
        <v>257</v>
      </c>
      <c r="C9" s="58">
        <v>1</v>
      </c>
      <c r="D9" s="73">
        <v>2</v>
      </c>
      <c r="E9" s="13">
        <f>3.6-0.2</f>
        <v>3.4</v>
      </c>
      <c r="F9" s="74">
        <f>6.6-0.2</f>
        <v>6.3999999999999995</v>
      </c>
      <c r="G9" s="4">
        <v>0.12</v>
      </c>
      <c r="H9" s="4"/>
      <c r="I9" s="5">
        <f t="shared" si="0"/>
        <v>5.2223999999999995</v>
      </c>
      <c r="J9" s="5">
        <f t="shared" si="1"/>
        <v>0.4352</v>
      </c>
      <c r="K9" s="4"/>
      <c r="L9" s="4"/>
    </row>
    <row r="10" spans="1:12" ht="14.25">
      <c r="A10" s="58"/>
      <c r="B10" s="94"/>
      <c r="C10" s="58">
        <v>1</v>
      </c>
      <c r="D10" s="73">
        <v>0</v>
      </c>
      <c r="E10" s="13">
        <v>1.74</v>
      </c>
      <c r="F10" s="74">
        <v>1.39</v>
      </c>
      <c r="G10" s="4">
        <v>0.1</v>
      </c>
      <c r="H10" s="4"/>
      <c r="I10" s="5">
        <f t="shared" si="0"/>
        <v>0</v>
      </c>
      <c r="J10" s="5">
        <f t="shared" si="1"/>
        <v>0</v>
      </c>
      <c r="K10" s="4"/>
      <c r="L10" s="4"/>
    </row>
    <row r="11" spans="1:12" ht="14.25">
      <c r="A11" s="58"/>
      <c r="B11" s="94"/>
      <c r="C11" s="58">
        <v>1</v>
      </c>
      <c r="D11" s="73">
        <v>0</v>
      </c>
      <c r="E11" s="13">
        <f>3.6-0.22</f>
        <v>3.38</v>
      </c>
      <c r="F11" s="74">
        <v>5.37</v>
      </c>
      <c r="G11" s="4">
        <v>0.12</v>
      </c>
      <c r="H11" s="4"/>
      <c r="I11" s="5">
        <f t="shared" si="0"/>
        <v>0</v>
      </c>
      <c r="J11" s="5">
        <f t="shared" si="1"/>
        <v>0</v>
      </c>
      <c r="K11" s="4"/>
      <c r="L11" s="4"/>
    </row>
    <row r="12" spans="1:12" ht="14.25">
      <c r="A12" s="58"/>
      <c r="B12" s="94" t="s">
        <v>258</v>
      </c>
      <c r="C12" s="58">
        <v>1</v>
      </c>
      <c r="D12" s="73">
        <v>0</v>
      </c>
      <c r="E12" s="13">
        <f>4.2-0.2</f>
        <v>4</v>
      </c>
      <c r="F12" s="74">
        <v>0.46</v>
      </c>
      <c r="G12" s="4">
        <v>0.12</v>
      </c>
      <c r="H12" s="4"/>
      <c r="I12" s="5">
        <f t="shared" si="0"/>
        <v>0</v>
      </c>
      <c r="J12" s="5">
        <f t="shared" si="1"/>
        <v>0</v>
      </c>
      <c r="K12" s="4"/>
      <c r="L12" s="4"/>
    </row>
    <row r="13" spans="1:12" ht="14.25">
      <c r="A13" s="58"/>
      <c r="B13" s="94" t="s">
        <v>259</v>
      </c>
      <c r="C13" s="58">
        <v>1</v>
      </c>
      <c r="D13" s="73">
        <v>2</v>
      </c>
      <c r="E13" s="13">
        <f>3.9-0.2</f>
        <v>3.6999999999999997</v>
      </c>
      <c r="F13" s="74">
        <f>1.8-0.2</f>
        <v>1.6</v>
      </c>
      <c r="G13" s="4">
        <v>0.1</v>
      </c>
      <c r="H13" s="4"/>
      <c r="I13" s="5">
        <f t="shared" si="0"/>
        <v>1.184</v>
      </c>
      <c r="J13" s="5">
        <f t="shared" si="1"/>
        <v>0.1184</v>
      </c>
      <c r="K13" s="4"/>
      <c r="L13" s="4"/>
    </row>
    <row r="14" spans="1:12" ht="14.25">
      <c r="A14" s="58"/>
      <c r="B14" s="94" t="s">
        <v>260</v>
      </c>
      <c r="C14" s="58">
        <v>1</v>
      </c>
      <c r="D14" s="73">
        <v>2</v>
      </c>
      <c r="E14" s="13">
        <f>2*(3.6-0.22)</f>
        <v>6.76</v>
      </c>
      <c r="F14" s="74">
        <f>2.4-0.2</f>
        <v>2.1999999999999997</v>
      </c>
      <c r="G14" s="4">
        <v>0.1</v>
      </c>
      <c r="H14" s="4"/>
      <c r="I14" s="5">
        <f t="shared" si="0"/>
        <v>2.9743999999999997</v>
      </c>
      <c r="J14" s="5">
        <f t="shared" si="1"/>
        <v>0.29744</v>
      </c>
      <c r="K14" s="4"/>
      <c r="L14" s="4"/>
    </row>
    <row r="15" spans="1:12" ht="14.25">
      <c r="A15" s="58"/>
      <c r="B15" s="94" t="s">
        <v>261</v>
      </c>
      <c r="C15" s="58">
        <v>1</v>
      </c>
      <c r="D15" s="73">
        <v>1</v>
      </c>
      <c r="E15" s="13">
        <f>4.2-0.2</f>
        <v>4</v>
      </c>
      <c r="F15" s="74">
        <f>2.2+0.1+0.5-0.2</f>
        <v>2.6</v>
      </c>
      <c r="G15" s="4">
        <v>0.1</v>
      </c>
      <c r="H15" s="4"/>
      <c r="I15" s="5">
        <f t="shared" si="0"/>
        <v>1.04</v>
      </c>
      <c r="J15" s="5">
        <f t="shared" si="1"/>
        <v>0.10400000000000001</v>
      </c>
      <c r="K15" s="4"/>
      <c r="L15" s="4"/>
    </row>
    <row r="16" spans="1:12" ht="14.25">
      <c r="A16" s="58"/>
      <c r="B16" s="97" t="s">
        <v>262</v>
      </c>
      <c r="C16" s="58"/>
      <c r="D16" s="73"/>
      <c r="E16" s="13"/>
      <c r="F16" s="74"/>
      <c r="G16" s="4"/>
      <c r="H16" s="4"/>
      <c r="I16" s="5"/>
      <c r="J16" s="5"/>
      <c r="K16" s="4"/>
      <c r="L16" s="4"/>
    </row>
    <row r="17" spans="1:12" ht="14.25">
      <c r="A17" s="58"/>
      <c r="B17" s="94" t="s">
        <v>263</v>
      </c>
      <c r="C17" s="58">
        <v>1</v>
      </c>
      <c r="D17" s="73">
        <v>1</v>
      </c>
      <c r="E17" s="13">
        <f>4.2-0.2</f>
        <v>4</v>
      </c>
      <c r="F17" s="74">
        <f>3.3-0.5-0.1</f>
        <v>2.6999999999999997</v>
      </c>
      <c r="G17" s="4">
        <v>0.12</v>
      </c>
      <c r="H17" s="4"/>
      <c r="I17" s="5">
        <f>+C17*D17*E17*F17*G17</f>
        <v>1.2959999999999998</v>
      </c>
      <c r="J17" s="5">
        <f>+C17*D17*E17*F17/100</f>
        <v>0.10799999999999998</v>
      </c>
      <c r="K17" s="4"/>
      <c r="L17" s="4"/>
    </row>
    <row r="18" spans="1:12" ht="14.25">
      <c r="A18" s="58"/>
      <c r="B18" s="94" t="s">
        <v>264</v>
      </c>
      <c r="C18" s="58"/>
      <c r="D18" s="73"/>
      <c r="E18" s="13"/>
      <c r="F18" s="74"/>
      <c r="G18" s="4"/>
      <c r="H18" s="4"/>
      <c r="I18" s="5"/>
      <c r="J18" s="5"/>
      <c r="K18" s="4"/>
      <c r="L18" s="4"/>
    </row>
    <row r="19" spans="1:12" ht="15">
      <c r="A19" s="58"/>
      <c r="B19" s="100" t="s">
        <v>160</v>
      </c>
      <c r="C19" s="58">
        <v>1</v>
      </c>
      <c r="D19" s="73">
        <v>1</v>
      </c>
      <c r="E19" s="13">
        <f>4.2+2*(1.1-0.2)+2*(3.3-0.2+0.1)</f>
        <v>12.399999999999999</v>
      </c>
      <c r="F19" s="74">
        <f>1.1-0.11-0.2</f>
        <v>0.79</v>
      </c>
      <c r="G19" s="4">
        <v>0.12</v>
      </c>
      <c r="H19" s="4"/>
      <c r="I19" s="5">
        <f>+C19*D19*E19*F19*G19</f>
        <v>1.17552</v>
      </c>
      <c r="J19" s="5">
        <f>+C19*D19*E19*F19/100</f>
        <v>0.09795999999999999</v>
      </c>
      <c r="K19" s="4"/>
      <c r="L19" s="4"/>
    </row>
    <row r="20" spans="1:12" ht="15">
      <c r="A20" s="58"/>
      <c r="B20" s="100" t="s">
        <v>161</v>
      </c>
      <c r="C20" s="58">
        <v>1</v>
      </c>
      <c r="D20" s="73">
        <v>2</v>
      </c>
      <c r="E20" s="13">
        <f>4.2+2*1.1+2*(3.3+1.1-0.2-0.2)</f>
        <v>14.4</v>
      </c>
      <c r="F20" s="74">
        <v>0.2</v>
      </c>
      <c r="G20" s="4">
        <v>0.15</v>
      </c>
      <c r="H20" s="4"/>
      <c r="I20" s="5">
        <f>+C20*D20*E20*F20*G20</f>
        <v>0.8640000000000001</v>
      </c>
      <c r="J20" s="5">
        <f>+C20*D20*E20*F20/100</f>
        <v>0.057600000000000005</v>
      </c>
      <c r="K20" s="4"/>
      <c r="L20" s="4"/>
    </row>
    <row r="21" spans="1:12" ht="14.25">
      <c r="A21" s="58"/>
      <c r="B21" s="94"/>
      <c r="C21" s="58">
        <v>1</v>
      </c>
      <c r="D21" s="73">
        <v>2</v>
      </c>
      <c r="E21" s="13">
        <f>4.2+2*1.1+2*(3.3+1.1-0.2-0.2)</f>
        <v>14.4</v>
      </c>
      <c r="F21" s="74">
        <v>0.15</v>
      </c>
      <c r="G21" s="4"/>
      <c r="H21" s="4"/>
      <c r="I21" s="5"/>
      <c r="J21" s="5">
        <f>+C21*D21*E21*F21*2/100</f>
        <v>0.0864</v>
      </c>
      <c r="K21" s="4"/>
      <c r="L21" s="4"/>
    </row>
    <row r="22" spans="1:12" ht="14.25">
      <c r="A22" s="58"/>
      <c r="B22" s="94" t="s">
        <v>265</v>
      </c>
      <c r="C22" s="58">
        <v>1</v>
      </c>
      <c r="D22" s="73">
        <v>1</v>
      </c>
      <c r="E22" s="13">
        <f>4.2+2*1.1-2*0.1+2*(3.3+1.1-0.2-0.2)</f>
        <v>14.2</v>
      </c>
      <c r="F22" s="74">
        <v>0.1</v>
      </c>
      <c r="G22" s="4">
        <v>0.5</v>
      </c>
      <c r="H22" s="4"/>
      <c r="I22" s="5">
        <f>+C22*D22*E22*F22*G22</f>
        <v>0.71</v>
      </c>
      <c r="J22" s="5">
        <f>+C22*D22*E22*F22/100</f>
        <v>0.014199999999999999</v>
      </c>
      <c r="K22" s="4"/>
      <c r="L22" s="4"/>
    </row>
    <row r="23" spans="1:12" ht="14.25">
      <c r="A23" s="58"/>
      <c r="B23" s="94"/>
      <c r="C23" s="58">
        <v>1</v>
      </c>
      <c r="D23" s="73">
        <v>1</v>
      </c>
      <c r="E23" s="13">
        <f>4.2+2*1.1-2*0.1+2*(3.3+1.1-0.2-0.2)</f>
        <v>14.2</v>
      </c>
      <c r="F23" s="74">
        <v>0.5</v>
      </c>
      <c r="G23" s="4"/>
      <c r="H23" s="4"/>
      <c r="I23" s="5"/>
      <c r="J23" s="5">
        <f>+C23*D23*E23*F23*2/100</f>
        <v>0.142</v>
      </c>
      <c r="K23" s="4"/>
      <c r="L23" s="4"/>
    </row>
    <row r="24" spans="1:12" ht="14.25">
      <c r="A24" s="58"/>
      <c r="B24" s="97" t="s">
        <v>266</v>
      </c>
      <c r="C24" s="58"/>
      <c r="D24" s="73"/>
      <c r="E24" s="13"/>
      <c r="F24" s="74"/>
      <c r="G24" s="4"/>
      <c r="H24" s="4"/>
      <c r="I24" s="5">
        <f aca="true" t="shared" si="2" ref="I24:I45">+C24*D24*E24*F24*G24</f>
        <v>0</v>
      </c>
      <c r="J24" s="5">
        <f aca="true" t="shared" si="3" ref="J24:J31">+C24*D24*E24*F24/100</f>
        <v>0</v>
      </c>
      <c r="K24" s="4"/>
      <c r="L24" s="4"/>
    </row>
    <row r="25" spans="1:12" ht="14.25">
      <c r="A25" s="58"/>
      <c r="B25" s="94" t="s">
        <v>20</v>
      </c>
      <c r="C25" s="58">
        <v>1</v>
      </c>
      <c r="D25" s="73">
        <v>2</v>
      </c>
      <c r="E25" s="13">
        <f>0.15+0.1+3.9+3.6*2+0.85</f>
        <v>12.200000000000001</v>
      </c>
      <c r="F25" s="74">
        <v>0.15</v>
      </c>
      <c r="G25" s="4">
        <v>0.15</v>
      </c>
      <c r="H25" s="4"/>
      <c r="I25" s="5">
        <f t="shared" si="2"/>
        <v>0.549</v>
      </c>
      <c r="J25" s="5">
        <f>+C25*D25*E25*F25/100</f>
        <v>0.0366</v>
      </c>
      <c r="K25" s="4"/>
      <c r="L25" s="4"/>
    </row>
    <row r="26" spans="1:12" ht="14.25">
      <c r="A26" s="58"/>
      <c r="B26" s="94" t="s">
        <v>22</v>
      </c>
      <c r="C26" s="58">
        <v>1</v>
      </c>
      <c r="D26" s="73">
        <v>2</v>
      </c>
      <c r="E26" s="13">
        <f>3.9+0.15</f>
        <v>4.05</v>
      </c>
      <c r="F26" s="74">
        <v>0.15</v>
      </c>
      <c r="G26" s="4">
        <v>0.15</v>
      </c>
      <c r="H26" s="4"/>
      <c r="I26" s="5">
        <f t="shared" si="2"/>
        <v>0.18224999999999997</v>
      </c>
      <c r="J26" s="5">
        <f t="shared" si="3"/>
        <v>0.01215</v>
      </c>
      <c r="K26" s="4"/>
      <c r="L26" s="96"/>
    </row>
    <row r="27" spans="1:12" ht="14.25">
      <c r="A27" s="58"/>
      <c r="B27" s="94" t="s">
        <v>23</v>
      </c>
      <c r="C27" s="58">
        <v>1</v>
      </c>
      <c r="D27" s="73">
        <v>2</v>
      </c>
      <c r="E27" s="13">
        <f>2*3.6+0.15+0.1-1.1</f>
        <v>6.35</v>
      </c>
      <c r="F27" s="74">
        <v>0.15</v>
      </c>
      <c r="G27" s="4">
        <v>0.15</v>
      </c>
      <c r="H27" s="4"/>
      <c r="I27" s="5">
        <f t="shared" si="2"/>
        <v>0.28574999999999995</v>
      </c>
      <c r="J27" s="5">
        <f t="shared" si="3"/>
        <v>0.019049999999999997</v>
      </c>
      <c r="K27" s="4"/>
      <c r="L27" s="96"/>
    </row>
    <row r="28" spans="1:12" ht="14.25">
      <c r="A28" s="58"/>
      <c r="B28" s="94" t="s">
        <v>24</v>
      </c>
      <c r="C28" s="58">
        <v>1</v>
      </c>
      <c r="D28" s="73">
        <v>2</v>
      </c>
      <c r="E28" s="13">
        <f>6.6+1.8+2*0.2</f>
        <v>8.8</v>
      </c>
      <c r="F28" s="74">
        <v>0.15</v>
      </c>
      <c r="G28" s="4">
        <v>0.15</v>
      </c>
      <c r="H28" s="4"/>
      <c r="I28" s="5">
        <f t="shared" si="2"/>
        <v>0.396</v>
      </c>
      <c r="J28" s="5">
        <f t="shared" si="3"/>
        <v>0.0264</v>
      </c>
      <c r="K28" s="4"/>
      <c r="L28" s="4"/>
    </row>
    <row r="29" spans="1:12" s="21" customFormat="1" ht="14.25">
      <c r="A29" s="58"/>
      <c r="B29" s="94" t="s">
        <v>267</v>
      </c>
      <c r="C29" s="58">
        <v>1</v>
      </c>
      <c r="D29" s="73">
        <v>2</v>
      </c>
      <c r="E29" s="13">
        <f>0.6-0.2-0.15+0.2</f>
        <v>0.44999999999999996</v>
      </c>
      <c r="F29" s="74">
        <v>0.15</v>
      </c>
      <c r="G29" s="4">
        <v>0.15</v>
      </c>
      <c r="H29" s="4"/>
      <c r="I29" s="5">
        <f t="shared" si="2"/>
        <v>0.020249999999999997</v>
      </c>
      <c r="J29" s="5">
        <f t="shared" si="3"/>
        <v>0.0013499999999999999</v>
      </c>
      <c r="K29" s="59"/>
      <c r="L29" s="59"/>
    </row>
    <row r="30" spans="1:12" s="21" customFormat="1" ht="14.25">
      <c r="A30" s="58"/>
      <c r="B30" s="94" t="s">
        <v>134</v>
      </c>
      <c r="C30" s="58">
        <v>1</v>
      </c>
      <c r="D30" s="73">
        <v>2</v>
      </c>
      <c r="E30" s="13">
        <f>0.8+0.2</f>
        <v>1</v>
      </c>
      <c r="F30" s="74">
        <v>0.15</v>
      </c>
      <c r="G30" s="59">
        <v>0.15</v>
      </c>
      <c r="H30" s="59"/>
      <c r="I30" s="5">
        <f t="shared" si="2"/>
        <v>0.045</v>
      </c>
      <c r="J30" s="5">
        <f t="shared" si="3"/>
        <v>0.003</v>
      </c>
      <c r="K30" s="59"/>
      <c r="L30" s="59"/>
    </row>
    <row r="31" spans="1:12" ht="14.25">
      <c r="A31" s="58"/>
      <c r="B31" s="94" t="s">
        <v>268</v>
      </c>
      <c r="C31" s="58">
        <v>1</v>
      </c>
      <c r="D31" s="73">
        <v>6</v>
      </c>
      <c r="E31" s="13">
        <v>0.15</v>
      </c>
      <c r="F31" s="74">
        <v>0.15</v>
      </c>
      <c r="G31" s="4"/>
      <c r="H31" s="4"/>
      <c r="I31" s="5">
        <f t="shared" si="2"/>
        <v>0</v>
      </c>
      <c r="J31" s="5">
        <f t="shared" si="3"/>
        <v>0.0013499999999999999</v>
      </c>
      <c r="K31" s="4"/>
      <c r="L31" s="5"/>
    </row>
    <row r="32" spans="1:12" s="3" customFormat="1" ht="15">
      <c r="A32" s="14">
        <v>2</v>
      </c>
      <c r="B32" s="80" t="s">
        <v>110</v>
      </c>
      <c r="C32" s="14"/>
      <c r="D32" s="98"/>
      <c r="E32" s="15"/>
      <c r="F32" s="99"/>
      <c r="G32" s="11"/>
      <c r="H32" s="11"/>
      <c r="I32" s="12">
        <f t="shared" si="2"/>
        <v>0</v>
      </c>
      <c r="J32" s="12">
        <f>SUM(J33:J80)</f>
        <v>6.958259999999999</v>
      </c>
      <c r="K32" s="11"/>
      <c r="L32" s="12"/>
    </row>
    <row r="33" spans="1:12" ht="14.25">
      <c r="A33" s="58"/>
      <c r="B33" s="94" t="s">
        <v>255</v>
      </c>
      <c r="C33" s="58">
        <v>2</v>
      </c>
      <c r="D33" s="73">
        <v>1</v>
      </c>
      <c r="E33" s="13">
        <f>+E7</f>
        <v>6.199999999999999</v>
      </c>
      <c r="F33" s="74">
        <f>6.6-0.1*3</f>
        <v>6.3</v>
      </c>
      <c r="G33" s="4">
        <v>0.1</v>
      </c>
      <c r="H33" s="4"/>
      <c r="I33" s="5">
        <f t="shared" si="2"/>
        <v>7.811999999999999</v>
      </c>
      <c r="J33" s="5">
        <f aca="true" t="shared" si="4" ref="J33:J45">+C33*D33*E33*F33/100</f>
        <v>0.7811999999999999</v>
      </c>
      <c r="K33" s="4"/>
      <c r="L33" s="5"/>
    </row>
    <row r="34" spans="1:12" ht="14.25">
      <c r="A34" s="58"/>
      <c r="B34" s="94" t="s">
        <v>269</v>
      </c>
      <c r="C34" s="58">
        <v>2</v>
      </c>
      <c r="D34" s="73">
        <v>1</v>
      </c>
      <c r="E34" s="13">
        <f>+(4*3.6+3.9-5*0.2)</f>
        <v>17.3</v>
      </c>
      <c r="F34" s="74">
        <f>6.6-0.2</f>
        <v>6.3999999999999995</v>
      </c>
      <c r="G34" s="4">
        <v>0.12</v>
      </c>
      <c r="H34" s="4"/>
      <c r="I34" s="5">
        <f t="shared" si="2"/>
        <v>26.572799999999997</v>
      </c>
      <c r="J34" s="5">
        <f t="shared" si="4"/>
        <v>2.2144</v>
      </c>
      <c r="K34" s="4"/>
      <c r="L34" s="5"/>
    </row>
    <row r="35" spans="1:12" ht="14.25">
      <c r="A35" s="58"/>
      <c r="B35" s="94" t="s">
        <v>258</v>
      </c>
      <c r="C35" s="58">
        <v>2</v>
      </c>
      <c r="D35" s="73">
        <v>0</v>
      </c>
      <c r="E35" s="13">
        <f>4.2-0.2</f>
        <v>4</v>
      </c>
      <c r="F35" s="74">
        <v>0.46</v>
      </c>
      <c r="G35" s="4">
        <v>0.12</v>
      </c>
      <c r="H35" s="4"/>
      <c r="I35" s="5">
        <f t="shared" si="2"/>
        <v>0</v>
      </c>
      <c r="J35" s="5">
        <f t="shared" si="4"/>
        <v>0</v>
      </c>
      <c r="K35" s="4"/>
      <c r="L35" s="5"/>
    </row>
    <row r="36" spans="1:12" s="21" customFormat="1" ht="14.25">
      <c r="A36" s="58"/>
      <c r="B36" s="94" t="s">
        <v>259</v>
      </c>
      <c r="C36" s="58">
        <v>2</v>
      </c>
      <c r="D36" s="73">
        <v>2</v>
      </c>
      <c r="E36" s="13">
        <f>3.9-0.2</f>
        <v>3.6999999999999997</v>
      </c>
      <c r="F36" s="74">
        <f>1.8-0.2</f>
        <v>1.6</v>
      </c>
      <c r="G36" s="59">
        <v>0.1</v>
      </c>
      <c r="H36" s="59"/>
      <c r="I36" s="13">
        <f t="shared" si="2"/>
        <v>2.368</v>
      </c>
      <c r="J36" s="13">
        <f t="shared" si="4"/>
        <v>0.2368</v>
      </c>
      <c r="K36" s="59"/>
      <c r="L36" s="13"/>
    </row>
    <row r="37" spans="1:12" ht="14.25">
      <c r="A37" s="58"/>
      <c r="B37" s="94" t="s">
        <v>260</v>
      </c>
      <c r="C37" s="58">
        <v>2</v>
      </c>
      <c r="D37" s="73">
        <v>2</v>
      </c>
      <c r="E37" s="13">
        <f>2*(3.6-0.2)</f>
        <v>6.8</v>
      </c>
      <c r="F37" s="74">
        <f>1.8+0.6-0.2</f>
        <v>2.1999999999999997</v>
      </c>
      <c r="G37" s="4">
        <v>0.1</v>
      </c>
      <c r="H37" s="4"/>
      <c r="I37" s="5">
        <f t="shared" si="2"/>
        <v>5.983999999999999</v>
      </c>
      <c r="J37" s="5">
        <f t="shared" si="4"/>
        <v>0.5983999999999999</v>
      </c>
      <c r="K37" s="4"/>
      <c r="L37" s="5"/>
    </row>
    <row r="38" spans="1:12" ht="14.25">
      <c r="A38" s="58"/>
      <c r="B38" s="94" t="s">
        <v>261</v>
      </c>
      <c r="C38" s="58">
        <v>2</v>
      </c>
      <c r="D38" s="73">
        <v>1</v>
      </c>
      <c r="E38" s="13">
        <f>4.2-0.2</f>
        <v>4</v>
      </c>
      <c r="F38" s="74">
        <v>2.6</v>
      </c>
      <c r="G38" s="4">
        <v>0.1</v>
      </c>
      <c r="H38" s="4"/>
      <c r="I38" s="5">
        <f t="shared" si="2"/>
        <v>2.08</v>
      </c>
      <c r="J38" s="5">
        <f t="shared" si="4"/>
        <v>0.20800000000000002</v>
      </c>
      <c r="K38" s="4"/>
      <c r="L38" s="5"/>
    </row>
    <row r="39" spans="1:12" ht="14.25">
      <c r="A39" s="58"/>
      <c r="B39" s="94" t="s">
        <v>270</v>
      </c>
      <c r="C39" s="58"/>
      <c r="D39" s="73"/>
      <c r="E39" s="13"/>
      <c r="F39" s="74"/>
      <c r="G39" s="4"/>
      <c r="H39" s="4"/>
      <c r="I39" s="5">
        <f t="shared" si="2"/>
        <v>0</v>
      </c>
      <c r="J39" s="5">
        <f t="shared" si="4"/>
        <v>0</v>
      </c>
      <c r="K39" s="4"/>
      <c r="L39" s="5"/>
    </row>
    <row r="40" spans="1:12" ht="14.25">
      <c r="A40" s="58"/>
      <c r="B40" s="94" t="s">
        <v>20</v>
      </c>
      <c r="C40" s="58">
        <v>2</v>
      </c>
      <c r="D40" s="73">
        <v>2</v>
      </c>
      <c r="E40" s="13">
        <f>0.1+2*1.35+2*1.2+0.33+0.77+2*0.7</f>
        <v>7.700000000000001</v>
      </c>
      <c r="F40" s="74">
        <v>0.1</v>
      </c>
      <c r="G40" s="4">
        <v>0.12</v>
      </c>
      <c r="H40" s="4"/>
      <c r="I40" s="5">
        <f t="shared" si="2"/>
        <v>0.36960000000000004</v>
      </c>
      <c r="J40" s="5">
        <f>+C40*D40*E40*(F40+G40)/100</f>
        <v>0.06776</v>
      </c>
      <c r="K40" s="4"/>
      <c r="L40" s="4"/>
    </row>
    <row r="41" spans="1:12" ht="14.25">
      <c r="A41" s="58"/>
      <c r="B41" s="94" t="s">
        <v>22</v>
      </c>
      <c r="C41" s="58">
        <v>2</v>
      </c>
      <c r="D41" s="73">
        <v>2</v>
      </c>
      <c r="E41" s="13">
        <f>0.1+0.44+0.44-0.1</f>
        <v>0.88</v>
      </c>
      <c r="F41" s="74">
        <v>0.1</v>
      </c>
      <c r="G41" s="4">
        <v>0.12</v>
      </c>
      <c r="H41" s="4"/>
      <c r="I41" s="5">
        <f t="shared" si="2"/>
        <v>0.04224</v>
      </c>
      <c r="J41" s="5">
        <f>+C41*D41*E41*(F41+G41)/100</f>
        <v>0.007744</v>
      </c>
      <c r="K41" s="4"/>
      <c r="L41" s="4"/>
    </row>
    <row r="42" spans="1:12" ht="14.25">
      <c r="A42" s="58"/>
      <c r="B42" s="94" t="s">
        <v>23</v>
      </c>
      <c r="C42" s="58">
        <v>2</v>
      </c>
      <c r="D42" s="73">
        <v>2</v>
      </c>
      <c r="E42" s="13">
        <f>0.1+3*0.44</f>
        <v>1.4200000000000002</v>
      </c>
      <c r="F42" s="74">
        <v>0.1</v>
      </c>
      <c r="G42" s="4">
        <v>0.12</v>
      </c>
      <c r="H42" s="4"/>
      <c r="I42" s="5">
        <f t="shared" si="2"/>
        <v>0.06816</v>
      </c>
      <c r="J42" s="5">
        <f>+C42*D42*E42*(F42+G42)/100</f>
        <v>0.012496</v>
      </c>
      <c r="K42" s="4"/>
      <c r="L42" s="4"/>
    </row>
    <row r="43" spans="1:12" ht="14.25">
      <c r="A43" s="58"/>
      <c r="B43" s="94"/>
      <c r="C43" s="58">
        <v>2</v>
      </c>
      <c r="D43" s="73">
        <v>2</v>
      </c>
      <c r="E43" s="13">
        <f>0.8-0.2-0.1</f>
        <v>0.5000000000000001</v>
      </c>
      <c r="F43" s="74">
        <f>0.8-0.1-0.2</f>
        <v>0.5</v>
      </c>
      <c r="G43" s="4">
        <v>0.12</v>
      </c>
      <c r="H43" s="4"/>
      <c r="I43" s="5">
        <f t="shared" si="2"/>
        <v>0.12000000000000002</v>
      </c>
      <c r="J43" s="5">
        <f>+C43*D43*E43*(F43+G43)/100</f>
        <v>0.012400000000000001</v>
      </c>
      <c r="K43" s="4"/>
      <c r="L43" s="4"/>
    </row>
    <row r="44" spans="1:12" ht="14.25">
      <c r="A44" s="58"/>
      <c r="B44" s="94" t="s">
        <v>268</v>
      </c>
      <c r="C44" s="58">
        <v>2</v>
      </c>
      <c r="D44" s="73">
        <v>34</v>
      </c>
      <c r="E44" s="13">
        <v>0.1</v>
      </c>
      <c r="F44" s="74">
        <v>0.12</v>
      </c>
      <c r="G44" s="4"/>
      <c r="H44" s="4"/>
      <c r="I44" s="5">
        <f t="shared" si="2"/>
        <v>0</v>
      </c>
      <c r="J44" s="5">
        <f t="shared" si="4"/>
        <v>0.00816</v>
      </c>
      <c r="K44" s="4"/>
      <c r="L44" s="4"/>
    </row>
    <row r="45" spans="1:12" s="16" customFormat="1" ht="15">
      <c r="A45" s="14">
        <v>3</v>
      </c>
      <c r="B45" s="80" t="s">
        <v>116</v>
      </c>
      <c r="C45" s="14"/>
      <c r="D45" s="98"/>
      <c r="E45" s="15"/>
      <c r="F45" s="99"/>
      <c r="G45" s="72"/>
      <c r="H45" s="72"/>
      <c r="I45" s="15">
        <f t="shared" si="2"/>
        <v>0</v>
      </c>
      <c r="J45" s="15">
        <f t="shared" si="4"/>
        <v>0</v>
      </c>
      <c r="K45" s="72"/>
      <c r="L45" s="72"/>
    </row>
    <row r="46" spans="1:12" ht="14.25">
      <c r="A46" s="58"/>
      <c r="B46" s="94" t="s">
        <v>142</v>
      </c>
      <c r="C46" s="58">
        <v>1</v>
      </c>
      <c r="D46" s="73">
        <v>1</v>
      </c>
      <c r="E46" s="13">
        <f>26.4-0.2*8</f>
        <v>24.799999999999997</v>
      </c>
      <c r="F46" s="74">
        <v>3.7</v>
      </c>
      <c r="G46" s="4">
        <v>0.12</v>
      </c>
      <c r="H46" s="4">
        <f>0.2*(0.5-0.2)</f>
        <v>0.06</v>
      </c>
      <c r="I46" s="5">
        <f aca="true" t="shared" si="5" ref="I46:I59">+C46*D46*(E46*F46-H46)*G46</f>
        <v>11.003999999999998</v>
      </c>
      <c r="J46" s="5">
        <f aca="true" t="shared" si="6" ref="J46:J58">+C46*D46*(E46*F46-H46)/100</f>
        <v>0.9169999999999999</v>
      </c>
      <c r="K46" s="4"/>
      <c r="L46" s="5"/>
    </row>
    <row r="47" spans="1:12" ht="14.25">
      <c r="A47" s="58"/>
      <c r="B47" s="94"/>
      <c r="C47" s="58">
        <v>1</v>
      </c>
      <c r="D47" s="73">
        <v>0</v>
      </c>
      <c r="E47" s="13">
        <f>0.5*(3.9+0.6-0.2)</f>
        <v>2.15</v>
      </c>
      <c r="F47" s="74">
        <v>3.7</v>
      </c>
      <c r="G47" s="4">
        <v>0.12</v>
      </c>
      <c r="H47" s="4"/>
      <c r="I47" s="5">
        <f t="shared" si="5"/>
        <v>0</v>
      </c>
      <c r="J47" s="5">
        <f t="shared" si="6"/>
        <v>0</v>
      </c>
      <c r="K47" s="4"/>
      <c r="L47" s="5"/>
    </row>
    <row r="48" spans="1:12" ht="14.25">
      <c r="A48" s="58"/>
      <c r="B48" s="94"/>
      <c r="C48" s="58">
        <v>1</v>
      </c>
      <c r="D48" s="73">
        <v>0</v>
      </c>
      <c r="E48" s="13">
        <f>0.5*(3.9+0.6-0.2+1.65)</f>
        <v>2.9749999999999996</v>
      </c>
      <c r="F48" s="74">
        <v>2.5</v>
      </c>
      <c r="G48" s="4">
        <v>0.12</v>
      </c>
      <c r="H48" s="4"/>
      <c r="I48" s="5">
        <f t="shared" si="5"/>
        <v>0</v>
      </c>
      <c r="J48" s="5">
        <f t="shared" si="6"/>
        <v>0</v>
      </c>
      <c r="K48" s="4"/>
      <c r="L48" s="5"/>
    </row>
    <row r="49" spans="1:12" ht="14.25">
      <c r="A49" s="58"/>
      <c r="B49" s="94"/>
      <c r="C49" s="58">
        <v>1</v>
      </c>
      <c r="D49" s="73">
        <v>0</v>
      </c>
      <c r="E49" s="13">
        <f>0.5*2.33</f>
        <v>1.165</v>
      </c>
      <c r="F49" s="74">
        <f>+F48</f>
        <v>2.5</v>
      </c>
      <c r="G49" s="4">
        <v>0.12</v>
      </c>
      <c r="H49" s="4"/>
      <c r="I49" s="5">
        <f t="shared" si="5"/>
        <v>0</v>
      </c>
      <c r="J49" s="5">
        <f t="shared" si="6"/>
        <v>0</v>
      </c>
      <c r="K49" s="4"/>
      <c r="L49" s="5"/>
    </row>
    <row r="50" spans="1:12" ht="14.25">
      <c r="A50" s="58"/>
      <c r="B50" s="94" t="s">
        <v>271</v>
      </c>
      <c r="C50" s="58">
        <v>1</v>
      </c>
      <c r="D50" s="73">
        <v>0</v>
      </c>
      <c r="E50" s="13">
        <f>4*3.6-2*0.6-4*0.2</f>
        <v>12.4</v>
      </c>
      <c r="F50" s="74">
        <f>6.6-0.2</f>
        <v>6.3999999999999995</v>
      </c>
      <c r="G50" s="4">
        <v>0.12</v>
      </c>
      <c r="H50" s="4"/>
      <c r="I50" s="5">
        <f t="shared" si="5"/>
        <v>0</v>
      </c>
      <c r="J50" s="5">
        <f t="shared" si="6"/>
        <v>0</v>
      </c>
      <c r="K50" s="4"/>
      <c r="L50" s="5"/>
    </row>
    <row r="51" spans="1:12" s="21" customFormat="1" ht="14.25">
      <c r="A51" s="58"/>
      <c r="B51" s="94" t="s">
        <v>163</v>
      </c>
      <c r="C51" s="58">
        <v>1</v>
      </c>
      <c r="D51" s="73">
        <v>0</v>
      </c>
      <c r="E51" s="13">
        <f>4.2-0.2</f>
        <v>4</v>
      </c>
      <c r="F51" s="74">
        <f>+F50</f>
        <v>6.3999999999999995</v>
      </c>
      <c r="G51" s="4">
        <v>0.12</v>
      </c>
      <c r="H51" s="4"/>
      <c r="I51" s="5">
        <f t="shared" si="5"/>
        <v>0</v>
      </c>
      <c r="J51" s="5">
        <f t="shared" si="6"/>
        <v>0</v>
      </c>
      <c r="K51" s="59"/>
      <c r="L51" s="13"/>
    </row>
    <row r="52" spans="1:12" ht="14.25">
      <c r="A52" s="58"/>
      <c r="B52" s="94" t="s">
        <v>143</v>
      </c>
      <c r="C52" s="58">
        <v>1</v>
      </c>
      <c r="D52" s="73">
        <v>-1</v>
      </c>
      <c r="E52" s="13">
        <v>4</v>
      </c>
      <c r="F52" s="74">
        <v>0.2</v>
      </c>
      <c r="G52" s="4">
        <v>0.12</v>
      </c>
      <c r="H52" s="4"/>
      <c r="I52" s="5">
        <f t="shared" si="5"/>
        <v>-0.096</v>
      </c>
      <c r="J52" s="5">
        <f t="shared" si="6"/>
        <v>-0.008</v>
      </c>
      <c r="K52" s="4"/>
      <c r="L52" s="5"/>
    </row>
    <row r="53" spans="1:12" ht="14.25">
      <c r="A53" s="58"/>
      <c r="B53" s="94" t="s">
        <v>144</v>
      </c>
      <c r="C53" s="58">
        <v>1</v>
      </c>
      <c r="D53" s="73">
        <v>1</v>
      </c>
      <c r="E53" s="13">
        <f>+E46</f>
        <v>24.799999999999997</v>
      </c>
      <c r="F53" s="74">
        <f>1.8-0.2</f>
        <v>1.6</v>
      </c>
      <c r="G53" s="4">
        <v>0.12</v>
      </c>
      <c r="H53" s="4"/>
      <c r="I53" s="5">
        <f t="shared" si="5"/>
        <v>4.7616</v>
      </c>
      <c r="J53" s="5">
        <f t="shared" si="6"/>
        <v>0.3968</v>
      </c>
      <c r="K53" s="4"/>
      <c r="L53" s="5"/>
    </row>
    <row r="54" spans="1:12" ht="14.25">
      <c r="A54" s="58"/>
      <c r="B54" s="94"/>
      <c r="C54" s="58">
        <v>1</v>
      </c>
      <c r="D54" s="73">
        <v>0</v>
      </c>
      <c r="E54" s="13">
        <f>0.5*(1.95+3.9-0.2)</f>
        <v>2.8249999999999997</v>
      </c>
      <c r="F54" s="74">
        <f>1.8-0.2</f>
        <v>1.6</v>
      </c>
      <c r="G54" s="4">
        <v>0.12</v>
      </c>
      <c r="H54" s="4"/>
      <c r="I54" s="5">
        <f t="shared" si="5"/>
        <v>0</v>
      </c>
      <c r="J54" s="5">
        <f t="shared" si="6"/>
        <v>0</v>
      </c>
      <c r="K54" s="4"/>
      <c r="L54" s="5"/>
    </row>
    <row r="55" spans="1:12" ht="14.25">
      <c r="A55" s="58"/>
      <c r="B55" s="94" t="s">
        <v>145</v>
      </c>
      <c r="C55" s="58">
        <v>1</v>
      </c>
      <c r="D55" s="73">
        <v>1</v>
      </c>
      <c r="E55" s="13">
        <f>3.6*2*2+4.2-5*0.2</f>
        <v>17.6</v>
      </c>
      <c r="F55" s="74">
        <v>0.6</v>
      </c>
      <c r="G55" s="4">
        <v>0.12</v>
      </c>
      <c r="H55" s="4"/>
      <c r="I55" s="5">
        <f t="shared" si="5"/>
        <v>1.2672</v>
      </c>
      <c r="J55" s="5">
        <f t="shared" si="6"/>
        <v>0.1056</v>
      </c>
      <c r="K55" s="4"/>
      <c r="L55" s="4"/>
    </row>
    <row r="56" spans="1:12" ht="14.25">
      <c r="A56" s="58"/>
      <c r="B56" s="94" t="s">
        <v>164</v>
      </c>
      <c r="C56" s="58">
        <v>1</v>
      </c>
      <c r="D56" s="73">
        <v>0</v>
      </c>
      <c r="E56" s="13">
        <f>4.2-0.2</f>
        <v>4</v>
      </c>
      <c r="F56" s="74">
        <f>1.8+0.6+0.3</f>
        <v>2.6999999999999997</v>
      </c>
      <c r="G56" s="4">
        <v>0.12</v>
      </c>
      <c r="H56" s="4"/>
      <c r="I56" s="5">
        <f t="shared" si="5"/>
        <v>0</v>
      </c>
      <c r="J56" s="5">
        <f t="shared" si="6"/>
        <v>0</v>
      </c>
      <c r="K56" s="4"/>
      <c r="L56" s="4"/>
    </row>
    <row r="57" spans="1:12" ht="14.25">
      <c r="A57" s="58"/>
      <c r="B57" s="94" t="s">
        <v>165</v>
      </c>
      <c r="C57" s="58">
        <v>1</v>
      </c>
      <c r="D57" s="73">
        <v>1</v>
      </c>
      <c r="E57" s="13">
        <f>4.2-0.2</f>
        <v>4</v>
      </c>
      <c r="F57" s="74">
        <v>0.06</v>
      </c>
      <c r="G57" s="4">
        <v>0.12</v>
      </c>
      <c r="H57" s="4"/>
      <c r="I57" s="5">
        <f t="shared" si="5"/>
        <v>0.0288</v>
      </c>
      <c r="J57" s="5">
        <f t="shared" si="6"/>
        <v>0.0024</v>
      </c>
      <c r="K57" s="4"/>
      <c r="L57" s="4"/>
    </row>
    <row r="58" spans="1:12" ht="14.25">
      <c r="A58" s="58"/>
      <c r="B58" s="94" t="s">
        <v>166</v>
      </c>
      <c r="C58" s="58">
        <v>1</v>
      </c>
      <c r="D58" s="73">
        <v>0</v>
      </c>
      <c r="E58" s="13">
        <f>0.8-0.2-0.1</f>
        <v>0.5000000000000001</v>
      </c>
      <c r="F58" s="74">
        <v>0.5</v>
      </c>
      <c r="G58" s="4">
        <v>0.12</v>
      </c>
      <c r="H58" s="4"/>
      <c r="I58" s="5">
        <f t="shared" si="5"/>
        <v>0</v>
      </c>
      <c r="J58" s="5">
        <f t="shared" si="6"/>
        <v>0</v>
      </c>
      <c r="K58" s="4"/>
      <c r="L58" s="4"/>
    </row>
    <row r="59" spans="1:12" ht="14.25">
      <c r="A59" s="58"/>
      <c r="B59" s="94" t="s">
        <v>167</v>
      </c>
      <c r="C59" s="58"/>
      <c r="D59" s="73"/>
      <c r="E59" s="13"/>
      <c r="F59" s="74"/>
      <c r="G59" s="4"/>
      <c r="H59" s="4"/>
      <c r="I59" s="5">
        <f t="shared" si="5"/>
        <v>0</v>
      </c>
      <c r="J59" s="5"/>
      <c r="K59" s="4"/>
      <c r="L59" s="4"/>
    </row>
    <row r="60" spans="1:12" ht="14.25">
      <c r="A60" s="58"/>
      <c r="B60" s="94" t="s">
        <v>168</v>
      </c>
      <c r="C60" s="58"/>
      <c r="D60" s="73"/>
      <c r="E60" s="13"/>
      <c r="F60" s="74"/>
      <c r="G60" s="4"/>
      <c r="H60" s="4"/>
      <c r="I60" s="5"/>
      <c r="J60" s="5">
        <f>+C60*D60*(E60*F60-H60)/100</f>
        <v>0</v>
      </c>
      <c r="K60" s="4"/>
      <c r="L60" s="4"/>
    </row>
    <row r="61" spans="1:12" ht="15">
      <c r="A61" s="58"/>
      <c r="B61" s="100" t="s">
        <v>20</v>
      </c>
      <c r="C61" s="58">
        <v>1</v>
      </c>
      <c r="D61" s="73">
        <v>1</v>
      </c>
      <c r="E61" s="13">
        <f>26.4+2*0.7</f>
        <v>27.799999999999997</v>
      </c>
      <c r="F61" s="74">
        <v>0.2</v>
      </c>
      <c r="G61" s="4">
        <v>0.15</v>
      </c>
      <c r="H61" s="4"/>
      <c r="I61" s="5">
        <f>+C61*D61*(E61*F61-H61)*G61</f>
        <v>0.834</v>
      </c>
      <c r="J61" s="5">
        <f>+C61*D61*(E61*F61-H61)/100</f>
        <v>0.0556</v>
      </c>
      <c r="K61" s="4"/>
      <c r="L61" s="4"/>
    </row>
    <row r="62" spans="1:12" ht="15">
      <c r="A62" s="58"/>
      <c r="B62" s="100" t="s">
        <v>23</v>
      </c>
      <c r="C62" s="58">
        <v>1</v>
      </c>
      <c r="D62" s="73">
        <v>2</v>
      </c>
      <c r="E62" s="13">
        <f>(0.7+3.9+2*3.6-0.8)</f>
        <v>11</v>
      </c>
      <c r="F62" s="74">
        <v>0.2</v>
      </c>
      <c r="G62" s="4">
        <v>0.15</v>
      </c>
      <c r="H62" s="4"/>
      <c r="I62" s="5">
        <f>+C62*D62*(E62*F62-H62)*G62</f>
        <v>0.66</v>
      </c>
      <c r="J62" s="5">
        <f>+C62*D62*(E62*F62-H62)/100</f>
        <v>0.044000000000000004</v>
      </c>
      <c r="K62" s="4"/>
      <c r="L62" s="4"/>
    </row>
    <row r="63" spans="1:12" ht="15">
      <c r="A63" s="58"/>
      <c r="B63" s="100" t="s">
        <v>24</v>
      </c>
      <c r="C63" s="58">
        <v>1</v>
      </c>
      <c r="D63" s="73">
        <v>2</v>
      </c>
      <c r="E63" s="13">
        <f>6.6+1.8+0.7*2-0.15*2</f>
        <v>9.5</v>
      </c>
      <c r="F63" s="74">
        <v>0.2</v>
      </c>
      <c r="G63" s="4">
        <v>0.15</v>
      </c>
      <c r="H63" s="4"/>
      <c r="I63" s="5">
        <f>+C63*D63*(E63*F63-H63)*G63</f>
        <v>0.5700000000000001</v>
      </c>
      <c r="J63" s="5">
        <f>+C63*D63*(E63*2*F63-H63)/100</f>
        <v>0.07600000000000001</v>
      </c>
      <c r="K63" s="4"/>
      <c r="L63" s="4"/>
    </row>
    <row r="64" spans="1:12" ht="15">
      <c r="A64" s="58"/>
      <c r="B64" s="100" t="s">
        <v>169</v>
      </c>
      <c r="C64" s="58">
        <v>1</v>
      </c>
      <c r="D64" s="73">
        <v>1</v>
      </c>
      <c r="E64" s="13">
        <f>+(26.4+2*0.7+26.4+2*0.7-4.2-2*0.8+2*(9.6+2*0.7))</f>
        <v>71.79999999999998</v>
      </c>
      <c r="F64" s="74">
        <v>0.15</v>
      </c>
      <c r="G64" s="4"/>
      <c r="H64" s="4"/>
      <c r="I64" s="5"/>
      <c r="J64" s="5"/>
      <c r="K64" s="4"/>
      <c r="L64" s="4"/>
    </row>
    <row r="65" spans="1:12" ht="14.25">
      <c r="A65" s="58"/>
      <c r="B65" s="94" t="s">
        <v>170</v>
      </c>
      <c r="C65" s="58"/>
      <c r="D65" s="73"/>
      <c r="E65" s="13"/>
      <c r="F65" s="74"/>
      <c r="G65" s="4"/>
      <c r="H65" s="4"/>
      <c r="I65" s="5"/>
      <c r="J65" s="5">
        <f>2*C65*D65*(E65*F65-H65)/100</f>
        <v>0</v>
      </c>
      <c r="K65" s="4"/>
      <c r="L65" s="4"/>
    </row>
    <row r="66" spans="1:12" ht="15">
      <c r="A66" s="58"/>
      <c r="B66" s="100" t="s">
        <v>20</v>
      </c>
      <c r="C66" s="58">
        <v>1</v>
      </c>
      <c r="D66" s="73">
        <v>1</v>
      </c>
      <c r="E66" s="13">
        <f>26.4+2*0.7-2*0.1</f>
        <v>27.599999999999998</v>
      </c>
      <c r="F66" s="74">
        <v>0.5</v>
      </c>
      <c r="G66" s="4">
        <v>0.1</v>
      </c>
      <c r="H66" s="4"/>
      <c r="I66" s="5">
        <f>+C66*D66*(E66*F66-H66)*G66</f>
        <v>1.38</v>
      </c>
      <c r="J66" s="5">
        <f>2*C66*D66*(E66*F66-H66)/100</f>
        <v>0.27599999999999997</v>
      </c>
      <c r="K66" s="4"/>
      <c r="L66" s="4"/>
    </row>
    <row r="67" spans="1:12" s="21" customFormat="1" ht="15">
      <c r="A67" s="58"/>
      <c r="B67" s="100" t="s">
        <v>23</v>
      </c>
      <c r="C67" s="58">
        <v>1</v>
      </c>
      <c r="D67" s="73">
        <v>2</v>
      </c>
      <c r="E67" s="13">
        <f>(0.7+3.9+2*3.6-0.8+0.3-0.1)</f>
        <v>11.200000000000001</v>
      </c>
      <c r="F67" s="74">
        <v>0.5</v>
      </c>
      <c r="G67" s="4">
        <v>0.1</v>
      </c>
      <c r="H67" s="4"/>
      <c r="I67" s="5">
        <f>+C67*D67*(E67*F67-H67)*G67</f>
        <v>1.12</v>
      </c>
      <c r="J67" s="5">
        <f>2*C67*D67*(E67*F67-H67)/100</f>
        <v>0.22400000000000003</v>
      </c>
      <c r="K67" s="59"/>
      <c r="L67" s="59"/>
    </row>
    <row r="68" spans="1:12" s="21" customFormat="1" ht="15">
      <c r="A68" s="58"/>
      <c r="B68" s="100" t="s">
        <v>24</v>
      </c>
      <c r="C68" s="58">
        <v>1</v>
      </c>
      <c r="D68" s="73">
        <v>2</v>
      </c>
      <c r="E68" s="13">
        <f>(0.7+7.2+1.8+0.7-2*0.1)</f>
        <v>10.200000000000001</v>
      </c>
      <c r="F68" s="74">
        <v>0.5</v>
      </c>
      <c r="G68" s="4">
        <v>0.1</v>
      </c>
      <c r="H68" s="59"/>
      <c r="I68" s="5">
        <f>+C68*D68*(E68*F68-H68)*G68</f>
        <v>1.0200000000000002</v>
      </c>
      <c r="J68" s="5"/>
      <c r="K68" s="59"/>
      <c r="L68" s="59"/>
    </row>
    <row r="69" spans="1:12" ht="14.25">
      <c r="A69" s="58"/>
      <c r="B69" s="94" t="s">
        <v>171</v>
      </c>
      <c r="C69" s="58"/>
      <c r="D69" s="73"/>
      <c r="E69" s="13"/>
      <c r="F69" s="74"/>
      <c r="G69" s="4"/>
      <c r="H69" s="59"/>
      <c r="I69" s="5"/>
      <c r="J69" s="5">
        <f>+C69*D69*(E69*F69-H69)/100</f>
        <v>0</v>
      </c>
      <c r="K69" s="4"/>
      <c r="L69" s="4"/>
    </row>
    <row r="70" spans="1:12" ht="15">
      <c r="A70" s="58"/>
      <c r="B70" s="100" t="s">
        <v>20</v>
      </c>
      <c r="C70" s="58">
        <v>1</v>
      </c>
      <c r="D70" s="73">
        <v>1</v>
      </c>
      <c r="E70" s="13">
        <f>26.4+2*0.7</f>
        <v>27.799999999999997</v>
      </c>
      <c r="F70" s="74">
        <f>1.01-0.11</f>
        <v>0.9</v>
      </c>
      <c r="G70" s="4">
        <v>0.15</v>
      </c>
      <c r="H70" s="4"/>
      <c r="I70" s="5">
        <f aca="true" t="shared" si="7" ref="I70:I75">+C70*D70*(E70*F70-H70)*G70</f>
        <v>3.7529999999999997</v>
      </c>
      <c r="J70" s="5">
        <f>+C70*D70*(E70*F70-H70)/100</f>
        <v>0.2502</v>
      </c>
      <c r="K70" s="4"/>
      <c r="L70" s="4"/>
    </row>
    <row r="71" spans="1:12" s="21" customFormat="1" ht="15">
      <c r="A71" s="58"/>
      <c r="B71" s="100" t="s">
        <v>23</v>
      </c>
      <c r="C71" s="58">
        <v>1</v>
      </c>
      <c r="D71" s="73">
        <v>2</v>
      </c>
      <c r="E71" s="13">
        <f>0.7+3.9+2*3.6-0.8</f>
        <v>11</v>
      </c>
      <c r="F71" s="74">
        <f>1.01-0.11</f>
        <v>0.9</v>
      </c>
      <c r="G71" s="4">
        <v>0.15</v>
      </c>
      <c r="H71" s="4"/>
      <c r="I71" s="5">
        <f t="shared" si="7"/>
        <v>2.97</v>
      </c>
      <c r="J71" s="5">
        <f>+C71*D71*(E71*F71-H71)/100</f>
        <v>0.198</v>
      </c>
      <c r="K71" s="59"/>
      <c r="L71" s="59"/>
    </row>
    <row r="72" spans="1:12" s="21" customFormat="1" ht="15">
      <c r="A72" s="58"/>
      <c r="B72" s="100" t="s">
        <v>24</v>
      </c>
      <c r="C72" s="58">
        <v>1</v>
      </c>
      <c r="D72" s="73">
        <v>2</v>
      </c>
      <c r="E72" s="13">
        <f>7.2+1.8+0.2</f>
        <v>9.2</v>
      </c>
      <c r="F72" s="74">
        <f>1.01-0.11</f>
        <v>0.9</v>
      </c>
      <c r="G72" s="4">
        <v>0.15</v>
      </c>
      <c r="H72" s="59"/>
      <c r="I72" s="5">
        <f t="shared" si="7"/>
        <v>2.4839999999999995</v>
      </c>
      <c r="J72" s="5">
        <f>+C72*D72*(E72*F72-H72)/100</f>
        <v>0.1656</v>
      </c>
      <c r="K72" s="59"/>
      <c r="L72" s="59"/>
    </row>
    <row r="73" spans="1:12" s="3" customFormat="1" ht="15">
      <c r="A73" s="14"/>
      <c r="B73" s="100" t="s">
        <v>169</v>
      </c>
      <c r="C73" s="58">
        <v>1</v>
      </c>
      <c r="D73" s="73">
        <v>1</v>
      </c>
      <c r="E73" s="13">
        <f>+(26.4+2*0.7+26.4+2*0.7-4.2-2*0.8+2*(9.6+2*0.7))</f>
        <v>71.79999999999998</v>
      </c>
      <c r="F73" s="74">
        <v>0.15</v>
      </c>
      <c r="G73" s="4"/>
      <c r="H73" s="4"/>
      <c r="I73" s="12">
        <f t="shared" si="7"/>
        <v>0</v>
      </c>
      <c r="J73" s="5">
        <f>+C73*D73*(E73*F73-H73)/100</f>
        <v>0.10769999999999998</v>
      </c>
      <c r="K73" s="11"/>
      <c r="L73" s="11"/>
    </row>
    <row r="74" spans="1:12" ht="14.25">
      <c r="A74" s="58"/>
      <c r="B74" s="94"/>
      <c r="C74" s="58"/>
      <c r="D74" s="73"/>
      <c r="E74" s="13"/>
      <c r="F74" s="74"/>
      <c r="G74" s="4"/>
      <c r="H74" s="4"/>
      <c r="I74" s="5">
        <f t="shared" si="7"/>
        <v>0</v>
      </c>
      <c r="J74" s="5">
        <f>+C74*D74*E74*F74/100</f>
        <v>0</v>
      </c>
      <c r="K74" s="4"/>
      <c r="L74" s="96"/>
    </row>
    <row r="75" spans="1:14" ht="14.25">
      <c r="A75" s="58"/>
      <c r="B75" s="94"/>
      <c r="C75" s="58"/>
      <c r="D75" s="73"/>
      <c r="E75" s="13"/>
      <c r="F75" s="74"/>
      <c r="G75" s="4"/>
      <c r="H75" s="4"/>
      <c r="I75" s="5">
        <f t="shared" si="7"/>
        <v>0</v>
      </c>
      <c r="J75" s="5">
        <f>+C75*D75*E75*F75/100</f>
        <v>0</v>
      </c>
      <c r="K75" s="4"/>
      <c r="L75" s="156"/>
      <c r="M75" s="117"/>
      <c r="N75" s="117"/>
    </row>
    <row r="76" spans="1:14" ht="14.25">
      <c r="A76" s="19"/>
      <c r="B76" s="85"/>
      <c r="C76" s="19"/>
      <c r="D76" s="83"/>
      <c r="E76" s="20"/>
      <c r="F76" s="84"/>
      <c r="G76" s="17"/>
      <c r="H76" s="17"/>
      <c r="I76" s="5"/>
      <c r="J76" s="5"/>
      <c r="K76" s="18"/>
      <c r="L76" s="157"/>
      <c r="M76" s="158"/>
      <c r="N76" s="158"/>
    </row>
    <row r="77" spans="1:14" ht="14.25">
      <c r="A77" s="19"/>
      <c r="B77" s="85"/>
      <c r="C77" s="19"/>
      <c r="D77" s="83"/>
      <c r="E77" s="20"/>
      <c r="F77" s="84"/>
      <c r="G77" s="17"/>
      <c r="H77" s="17"/>
      <c r="I77" s="5"/>
      <c r="J77" s="5"/>
      <c r="K77" s="18"/>
      <c r="L77" s="157"/>
      <c r="M77" s="158"/>
      <c r="N77" s="158"/>
    </row>
    <row r="78" spans="1:14" ht="14.25">
      <c r="A78" s="19"/>
      <c r="B78" s="85"/>
      <c r="C78" s="19"/>
      <c r="D78" s="83"/>
      <c r="E78" s="20"/>
      <c r="F78" s="84"/>
      <c r="G78" s="17"/>
      <c r="H78" s="17"/>
      <c r="I78" s="5"/>
      <c r="J78" s="5"/>
      <c r="K78" s="18"/>
      <c r="L78" s="157"/>
      <c r="M78" s="158"/>
      <c r="N78" s="158"/>
    </row>
    <row r="79" spans="1:14" ht="14.25">
      <c r="A79" s="58"/>
      <c r="B79" s="94"/>
      <c r="C79" s="58"/>
      <c r="D79" s="73"/>
      <c r="E79" s="13"/>
      <c r="F79" s="74"/>
      <c r="G79" s="4"/>
      <c r="H79" s="4"/>
      <c r="I79" s="5"/>
      <c r="J79" s="5"/>
      <c r="K79" s="4"/>
      <c r="L79" s="156"/>
      <c r="M79" s="117"/>
      <c r="N79" s="117"/>
    </row>
    <row r="80" spans="1:12" s="21" customFormat="1" ht="14.25">
      <c r="A80" s="58"/>
      <c r="B80" s="94"/>
      <c r="C80" s="58"/>
      <c r="D80" s="73"/>
      <c r="E80" s="13"/>
      <c r="F80" s="74"/>
      <c r="G80" s="59"/>
      <c r="H80" s="59"/>
      <c r="I80" s="5"/>
      <c r="J80" s="5"/>
      <c r="K80" s="59"/>
      <c r="L80" s="59"/>
    </row>
    <row r="81" spans="1:12" ht="14.25">
      <c r="A81" s="22"/>
      <c r="B81" s="101"/>
      <c r="C81" s="22"/>
      <c r="D81" s="24"/>
      <c r="E81" s="24"/>
      <c r="F81" s="86"/>
      <c r="G81" s="23"/>
      <c r="H81" s="23"/>
      <c r="I81" s="24"/>
      <c r="J81" s="24"/>
      <c r="K81" s="23"/>
      <c r="L81" s="23"/>
    </row>
  </sheetData>
  <sheetProtection/>
  <mergeCells count="11">
    <mergeCell ref="L3:L4"/>
    <mergeCell ref="A1:L1"/>
    <mergeCell ref="H3:H4"/>
    <mergeCell ref="I3:I4"/>
    <mergeCell ref="J3:J4"/>
    <mergeCell ref="C3:C4"/>
    <mergeCell ref="A3:A4"/>
    <mergeCell ref="B3:B4"/>
    <mergeCell ref="D3:D4"/>
    <mergeCell ref="E3:G3"/>
    <mergeCell ref="K3:K4"/>
  </mergeCells>
  <printOptions/>
  <pageMargins left="0.85" right="0.21" top="0.84" bottom="0.4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F15" sqref="F15"/>
    </sheetView>
  </sheetViews>
  <sheetFormatPr defaultColWidth="9.140625" defaultRowHeight="12.75"/>
  <cols>
    <col min="1" max="1" width="5.140625" style="25" customWidth="1"/>
    <col min="2" max="2" width="29.140625" style="28" bestFit="1" customWidth="1"/>
    <col min="3" max="3" width="6.00390625" style="123" bestFit="1" customWidth="1"/>
    <col min="4" max="4" width="6.00390625" style="26" bestFit="1" customWidth="1"/>
    <col min="5" max="5" width="8.7109375" style="26" bestFit="1" customWidth="1"/>
    <col min="6" max="6" width="7.28125" style="29" customWidth="1"/>
    <col min="7" max="7" width="7.57421875" style="2" customWidth="1"/>
    <col min="8" max="8" width="10.00390625" style="26" hidden="1" customWidth="1"/>
    <col min="9" max="12" width="10.00390625" style="26" customWidth="1"/>
    <col min="13" max="13" width="13.421875" style="26" customWidth="1"/>
    <col min="14" max="15" width="9.140625" style="2" customWidth="1"/>
    <col min="16" max="16" width="16.8515625" style="2" bestFit="1" customWidth="1"/>
    <col min="17" max="19" width="9.140625" style="2" customWidth="1"/>
    <col min="20" max="20" width="18.7109375" style="2" bestFit="1" customWidth="1"/>
    <col min="21" max="23" width="9.140625" style="2" customWidth="1"/>
    <col min="24" max="24" width="11.28125" style="2" bestFit="1" customWidth="1"/>
    <col min="25" max="16384" width="9.140625" style="2" customWidth="1"/>
  </cols>
  <sheetData>
    <row r="1" spans="1:13" ht="16.5">
      <c r="A1" s="285" t="s">
        <v>181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3" spans="1:14" ht="21" customHeight="1">
      <c r="A3" s="288" t="s">
        <v>1</v>
      </c>
      <c r="B3" s="286" t="s">
        <v>137</v>
      </c>
      <c r="C3" s="286" t="s">
        <v>73</v>
      </c>
      <c r="D3" s="288" t="s">
        <v>74</v>
      </c>
      <c r="E3" s="289" t="s">
        <v>75</v>
      </c>
      <c r="F3" s="289"/>
      <c r="G3" s="289"/>
      <c r="H3" s="290" t="s">
        <v>182</v>
      </c>
      <c r="I3" s="290" t="s">
        <v>183</v>
      </c>
      <c r="J3" s="290" t="s">
        <v>184</v>
      </c>
      <c r="K3" s="290" t="s">
        <v>185</v>
      </c>
      <c r="L3" s="290" t="s">
        <v>186</v>
      </c>
      <c r="M3" s="290" t="s">
        <v>187</v>
      </c>
      <c r="N3" s="299"/>
    </row>
    <row r="4" spans="1:14" ht="16.5" customHeight="1">
      <c r="A4" s="288"/>
      <c r="B4" s="287"/>
      <c r="C4" s="287" t="s">
        <v>87</v>
      </c>
      <c r="D4" s="288" t="s">
        <v>87</v>
      </c>
      <c r="E4" s="62" t="s">
        <v>223</v>
      </c>
      <c r="F4" s="64" t="s">
        <v>88</v>
      </c>
      <c r="G4" s="62" t="s">
        <v>222</v>
      </c>
      <c r="H4" s="291"/>
      <c r="I4" s="291"/>
      <c r="J4" s="291"/>
      <c r="K4" s="291"/>
      <c r="L4" s="291"/>
      <c r="M4" s="291"/>
      <c r="N4" s="299"/>
    </row>
    <row r="5" spans="1:13" ht="16.5" customHeight="1">
      <c r="A5" s="66"/>
      <c r="B5" s="102" t="s">
        <v>188</v>
      </c>
      <c r="C5" s="109"/>
      <c r="D5" s="66"/>
      <c r="E5" s="67"/>
      <c r="F5" s="68"/>
      <c r="G5" s="67"/>
      <c r="H5" s="8">
        <f>SUM(H6:H137)</f>
        <v>87.084</v>
      </c>
      <c r="I5" s="8">
        <f>SUM(I6:I100)*0.9</f>
        <v>142.97724000000005</v>
      </c>
      <c r="J5" s="70"/>
      <c r="K5" s="70"/>
      <c r="L5" s="70"/>
      <c r="M5" s="70"/>
    </row>
    <row r="6" spans="1:13" ht="15">
      <c r="A6" s="110"/>
      <c r="B6" s="102" t="s">
        <v>69</v>
      </c>
      <c r="C6" s="111"/>
      <c r="D6" s="112"/>
      <c r="E6" s="9"/>
      <c r="F6" s="113"/>
      <c r="G6" s="114"/>
      <c r="H6" s="9"/>
      <c r="I6" s="9"/>
      <c r="J6" s="9"/>
      <c r="K6" s="9"/>
      <c r="L6" s="8">
        <f>SUM(L7:L48)*0.85</f>
        <v>187.87209999999996</v>
      </c>
      <c r="M6" s="8">
        <f>SUM(M7:M48)*0.8</f>
        <v>133.97599999999997</v>
      </c>
    </row>
    <row r="7" spans="1:13" ht="15">
      <c r="A7" s="14">
        <v>1</v>
      </c>
      <c r="B7" s="80" t="s">
        <v>20</v>
      </c>
      <c r="C7" s="115">
        <v>1</v>
      </c>
      <c r="D7" s="73">
        <v>2</v>
      </c>
      <c r="E7" s="13">
        <f>0.1+3.9+2*3.6+0.7</f>
        <v>11.899999999999999</v>
      </c>
      <c r="F7" s="74">
        <v>0.1</v>
      </c>
      <c r="G7" s="4">
        <f>3.9-0.3</f>
        <v>3.6</v>
      </c>
      <c r="H7" s="5">
        <f>+C7*D7*E7*F7</f>
        <v>2.38</v>
      </c>
      <c r="I7" s="5">
        <f>+C7*D7*E7*F7*G7</f>
        <v>8.568</v>
      </c>
      <c r="J7" s="5"/>
      <c r="K7" s="5" t="s">
        <v>189</v>
      </c>
      <c r="L7" s="5">
        <f>IF(OR(K7="n",K7="n+t"),C7*D7*(E7*G7-J7),0)</f>
        <v>85.67999999999999</v>
      </c>
      <c r="M7" s="5">
        <f>IF(OR(K7="t",K7="n+t"),C7*D7*(E7*G7-J7),0)</f>
        <v>0</v>
      </c>
    </row>
    <row r="8" spans="1:13" ht="14.25">
      <c r="A8" s="58"/>
      <c r="B8" s="94" t="s">
        <v>190</v>
      </c>
      <c r="C8" s="115">
        <v>1</v>
      </c>
      <c r="D8" s="73">
        <v>2</v>
      </c>
      <c r="E8" s="13">
        <f>9*0.1+0.3</f>
        <v>1.2</v>
      </c>
      <c r="F8" s="74"/>
      <c r="G8" s="4">
        <f>3.9-0.3</f>
        <v>3.6</v>
      </c>
      <c r="H8" s="5"/>
      <c r="I8" s="5"/>
      <c r="J8" s="5"/>
      <c r="K8" s="5" t="s">
        <v>189</v>
      </c>
      <c r="L8" s="5">
        <f>IF(OR(K8="n",K8="n+t"),C8*D8*(E8*G8-J8),0)</f>
        <v>8.64</v>
      </c>
      <c r="M8" s="5">
        <f>IF(OR(K8="t",K8="n+t"),C8*D8*(E8*G8-J8),0)</f>
        <v>0</v>
      </c>
    </row>
    <row r="9" spans="1:13" ht="14.25">
      <c r="A9" s="58"/>
      <c r="B9" s="116" t="s">
        <v>172</v>
      </c>
      <c r="C9" s="115">
        <v>1</v>
      </c>
      <c r="D9" s="73">
        <v>-2</v>
      </c>
      <c r="E9" s="13">
        <f>3*1.2+0.6</f>
        <v>4.199999999999999</v>
      </c>
      <c r="F9" s="74">
        <v>0.1</v>
      </c>
      <c r="G9" s="4">
        <f>3.9-0.3</f>
        <v>3.6</v>
      </c>
      <c r="H9" s="5">
        <f>+C9*D9*E9*F9</f>
        <v>-0.8399999999999999</v>
      </c>
      <c r="I9" s="5">
        <f>+C9*D9*E9*F9*G9</f>
        <v>-3.0239999999999996</v>
      </c>
      <c r="J9" s="5"/>
      <c r="K9" s="5"/>
      <c r="L9" s="5"/>
      <c r="M9" s="5">
        <f>IF(OR(K9="t",K9="n+t"),C9*D9*(E9*G9-J9),0)</f>
        <v>0</v>
      </c>
    </row>
    <row r="10" spans="1:13" ht="14.25">
      <c r="A10" s="58"/>
      <c r="B10" s="94"/>
      <c r="C10" s="115">
        <v>1</v>
      </c>
      <c r="D10" s="73">
        <v>2</v>
      </c>
      <c r="E10" s="13">
        <f>3.9+2*3.6+0.7-3.5*0.2</f>
        <v>11.1</v>
      </c>
      <c r="F10" s="74">
        <v>0.2</v>
      </c>
      <c r="G10" s="4">
        <f>3.9-0.3</f>
        <v>3.6</v>
      </c>
      <c r="H10" s="5">
        <f>+C10*D10*E10*F10</f>
        <v>4.44</v>
      </c>
      <c r="I10" s="5">
        <f>+C10*D10*E10*F10*G10</f>
        <v>15.984000000000002</v>
      </c>
      <c r="J10" s="5">
        <f>0.2*(3.9-0.4)</f>
        <v>0.7000000000000001</v>
      </c>
      <c r="K10" s="5" t="s">
        <v>191</v>
      </c>
      <c r="L10" s="5">
        <f>IF(OR(K10="n",K10="n+t"),C10*D10*(E10*G10-J10),0)</f>
        <v>0</v>
      </c>
      <c r="M10" s="5">
        <f>IF(OR(K10="t",K10="n+t"),C10*D10*(E10*G10-J10),0)</f>
        <v>78.52</v>
      </c>
    </row>
    <row r="11" spans="1:18" ht="14.25">
      <c r="A11" s="58"/>
      <c r="B11" s="94" t="s">
        <v>159</v>
      </c>
      <c r="C11" s="115"/>
      <c r="D11" s="73"/>
      <c r="E11" s="13"/>
      <c r="F11" s="74"/>
      <c r="G11" s="4"/>
      <c r="H11" s="5"/>
      <c r="I11" s="5"/>
      <c r="J11" s="5"/>
      <c r="K11" s="5"/>
      <c r="L11" s="5"/>
      <c r="M11" s="5"/>
      <c r="P11" s="117"/>
      <c r="Q11" s="117"/>
      <c r="R11" s="117"/>
    </row>
    <row r="12" spans="1:18" ht="14.25">
      <c r="A12" s="58"/>
      <c r="B12" s="94" t="s">
        <v>192</v>
      </c>
      <c r="C12" s="115">
        <v>1</v>
      </c>
      <c r="D12" s="73">
        <v>-1</v>
      </c>
      <c r="E12" s="13">
        <f>VLOOKUP(B12,'kl cua'!$B$6:$D$20,3,0)</f>
        <v>1.2</v>
      </c>
      <c r="F12" s="74">
        <v>0.2</v>
      </c>
      <c r="G12" s="4">
        <f>VLOOKUP(B12,'kl cua'!$B$6:$E$20,4,0)</f>
        <v>0.65</v>
      </c>
      <c r="H12" s="5"/>
      <c r="I12" s="5">
        <f aca="true" t="shared" si="0" ref="I12:I20">+C12*D12*E12*F12*G12</f>
        <v>-0.156</v>
      </c>
      <c r="J12" s="5"/>
      <c r="K12" s="5" t="s">
        <v>193</v>
      </c>
      <c r="L12" s="5">
        <f aca="true" t="shared" si="1" ref="L12:L20">IF(OR(K12="n",K12="n+t"),C12*D12*(E12*G12-J12),0)</f>
        <v>-0.78</v>
      </c>
      <c r="M12" s="5">
        <f aca="true" t="shared" si="2" ref="M12:M17">IF(OR(K12="t",K12="n+t"),C12*D12*(E12*G12-J12),0)</f>
        <v>-0.78</v>
      </c>
      <c r="P12" s="118"/>
      <c r="Q12" s="119"/>
      <c r="R12" s="117"/>
    </row>
    <row r="13" spans="1:18" ht="14.25">
      <c r="A13" s="58"/>
      <c r="B13" s="94" t="s">
        <v>195</v>
      </c>
      <c r="C13" s="115">
        <v>1</v>
      </c>
      <c r="D13" s="73">
        <v>-5</v>
      </c>
      <c r="E13" s="13">
        <f>VLOOKUP(B13,'kl cua'!$B$6:$D$20,3,0)</f>
        <v>1.2</v>
      </c>
      <c r="F13" s="74">
        <v>0.2</v>
      </c>
      <c r="G13" s="4">
        <f>VLOOKUP(B13,'kl cua'!$B$6:$E$20,4,0)</f>
        <v>2</v>
      </c>
      <c r="H13" s="5"/>
      <c r="I13" s="5">
        <f t="shared" si="0"/>
        <v>-2.4000000000000004</v>
      </c>
      <c r="J13" s="5"/>
      <c r="K13" s="5" t="s">
        <v>193</v>
      </c>
      <c r="L13" s="5">
        <f t="shared" si="1"/>
        <v>-12</v>
      </c>
      <c r="M13" s="5">
        <f t="shared" si="2"/>
        <v>-12</v>
      </c>
      <c r="P13" s="118"/>
      <c r="Q13" s="119"/>
      <c r="R13" s="117"/>
    </row>
    <row r="14" spans="1:18" ht="14.25">
      <c r="A14" s="58"/>
      <c r="B14" s="94" t="s">
        <v>197</v>
      </c>
      <c r="C14" s="115">
        <v>1</v>
      </c>
      <c r="D14" s="73">
        <v>-2</v>
      </c>
      <c r="E14" s="13">
        <f>VLOOKUP(B14,'kl cua'!$B$6:$D$20,3,0)</f>
        <v>0.6</v>
      </c>
      <c r="F14" s="74">
        <v>0.2</v>
      </c>
      <c r="G14" s="4">
        <f>VLOOKUP(B14,'kl cua'!$B$6:$E$20,4,0)</f>
        <v>2</v>
      </c>
      <c r="H14" s="5"/>
      <c r="I14" s="5">
        <f t="shared" si="0"/>
        <v>-0.48</v>
      </c>
      <c r="J14" s="5"/>
      <c r="K14" s="5" t="s">
        <v>193</v>
      </c>
      <c r="L14" s="5">
        <f t="shared" si="1"/>
        <v>-2.4</v>
      </c>
      <c r="M14" s="5">
        <f t="shared" si="2"/>
        <v>-2.4</v>
      </c>
      <c r="P14" s="118"/>
      <c r="Q14" s="119"/>
      <c r="R14" s="117"/>
    </row>
    <row r="15" spans="1:18" ht="15">
      <c r="A15" s="14">
        <v>2</v>
      </c>
      <c r="B15" s="80" t="s">
        <v>194</v>
      </c>
      <c r="C15" s="115">
        <v>1</v>
      </c>
      <c r="D15" s="73">
        <v>1</v>
      </c>
      <c r="E15" s="13">
        <f>4.2-0.2</f>
        <v>4</v>
      </c>
      <c r="F15" s="74">
        <v>0.2</v>
      </c>
      <c r="G15" s="4">
        <v>1.95</v>
      </c>
      <c r="H15" s="5">
        <f>+C15*D15*E15*F15</f>
        <v>0.8</v>
      </c>
      <c r="I15" s="5">
        <f t="shared" si="0"/>
        <v>1.56</v>
      </c>
      <c r="J15" s="5"/>
      <c r="K15" s="5" t="s">
        <v>193</v>
      </c>
      <c r="L15" s="5">
        <f t="shared" si="1"/>
        <v>7.8</v>
      </c>
      <c r="M15" s="5">
        <f t="shared" si="2"/>
        <v>7.8</v>
      </c>
      <c r="P15" s="117"/>
      <c r="Q15" s="117"/>
      <c r="R15" s="117"/>
    </row>
    <row r="16" spans="1:18" ht="15">
      <c r="A16" s="14">
        <v>3</v>
      </c>
      <c r="B16" s="80" t="s">
        <v>22</v>
      </c>
      <c r="C16" s="115">
        <v>1</v>
      </c>
      <c r="D16" s="73">
        <v>2</v>
      </c>
      <c r="E16" s="13">
        <v>3.9</v>
      </c>
      <c r="F16" s="74">
        <v>0.2</v>
      </c>
      <c r="G16" s="4">
        <f>3.9-0.3</f>
        <v>3.6</v>
      </c>
      <c r="H16" s="5">
        <f>+C16*D16*E16*F16</f>
        <v>1.56</v>
      </c>
      <c r="I16" s="5">
        <f t="shared" si="0"/>
        <v>5.6160000000000005</v>
      </c>
      <c r="J16" s="5"/>
      <c r="K16" s="5" t="s">
        <v>191</v>
      </c>
      <c r="L16" s="5">
        <f t="shared" si="1"/>
        <v>0</v>
      </c>
      <c r="M16" s="5">
        <f t="shared" si="2"/>
        <v>28.08</v>
      </c>
      <c r="P16" s="117"/>
      <c r="Q16" s="117"/>
      <c r="R16" s="117"/>
    </row>
    <row r="17" spans="1:18" ht="14.25">
      <c r="A17" s="58"/>
      <c r="B17" s="94" t="s">
        <v>190</v>
      </c>
      <c r="C17" s="115">
        <v>1</v>
      </c>
      <c r="D17" s="73">
        <v>2</v>
      </c>
      <c r="E17" s="13">
        <v>0.2</v>
      </c>
      <c r="F17" s="74"/>
      <c r="G17" s="4">
        <f>3.9-0.3</f>
        <v>3.6</v>
      </c>
      <c r="H17" s="5"/>
      <c r="I17" s="5">
        <f t="shared" si="0"/>
        <v>0</v>
      </c>
      <c r="J17" s="5"/>
      <c r="K17" s="5" t="s">
        <v>191</v>
      </c>
      <c r="L17" s="5">
        <f t="shared" si="1"/>
        <v>0</v>
      </c>
      <c r="M17" s="5">
        <f t="shared" si="2"/>
        <v>1.4400000000000002</v>
      </c>
      <c r="P17" s="117"/>
      <c r="Q17" s="117"/>
      <c r="R17" s="117"/>
    </row>
    <row r="18" spans="1:18" ht="14.25">
      <c r="A18" s="58"/>
      <c r="B18" s="94"/>
      <c r="C18" s="115">
        <v>1</v>
      </c>
      <c r="D18" s="73">
        <v>2</v>
      </c>
      <c r="E18" s="13">
        <v>3.9</v>
      </c>
      <c r="F18" s="74">
        <v>0.1</v>
      </c>
      <c r="G18" s="4">
        <f>3.9-0.3</f>
        <v>3.6</v>
      </c>
      <c r="H18" s="5"/>
      <c r="I18" s="5">
        <f t="shared" si="0"/>
        <v>2.8080000000000003</v>
      </c>
      <c r="J18" s="5"/>
      <c r="K18" s="5" t="s">
        <v>189</v>
      </c>
      <c r="L18" s="5">
        <f t="shared" si="1"/>
        <v>28.08</v>
      </c>
      <c r="M18" s="5"/>
      <c r="P18" s="117"/>
      <c r="Q18" s="117"/>
      <c r="R18" s="117"/>
    </row>
    <row r="19" spans="1:13" ht="14.25">
      <c r="A19" s="58"/>
      <c r="B19" s="94" t="s">
        <v>190</v>
      </c>
      <c r="C19" s="115">
        <v>1</v>
      </c>
      <c r="D19" s="73">
        <v>2</v>
      </c>
      <c r="E19" s="13">
        <f>3*0.1</f>
        <v>0.30000000000000004</v>
      </c>
      <c r="F19" s="74"/>
      <c r="G19" s="4">
        <f>3.9-0.3</f>
        <v>3.6</v>
      </c>
      <c r="H19" s="5"/>
      <c r="I19" s="5">
        <f t="shared" si="0"/>
        <v>0</v>
      </c>
      <c r="J19" s="5"/>
      <c r="K19" s="5" t="s">
        <v>189</v>
      </c>
      <c r="L19" s="5">
        <f t="shared" si="1"/>
        <v>2.1600000000000006</v>
      </c>
      <c r="M19" s="5">
        <f>IF(OR(K19="t",K19="n+t"),C19*D19*(E19*G19-J19),0)</f>
        <v>0</v>
      </c>
    </row>
    <row r="20" spans="1:13" ht="14.25">
      <c r="A20" s="58"/>
      <c r="B20" s="116" t="s">
        <v>172</v>
      </c>
      <c r="C20" s="115">
        <v>1</v>
      </c>
      <c r="D20" s="73">
        <v>-2</v>
      </c>
      <c r="E20" s="13">
        <v>2.3</v>
      </c>
      <c r="F20" s="74">
        <v>0.1</v>
      </c>
      <c r="G20" s="4">
        <f>+G18</f>
        <v>3.6</v>
      </c>
      <c r="H20" s="5"/>
      <c r="I20" s="5">
        <f t="shared" si="0"/>
        <v>-1.656</v>
      </c>
      <c r="J20" s="5"/>
      <c r="K20" s="5"/>
      <c r="L20" s="5">
        <f t="shared" si="1"/>
        <v>0</v>
      </c>
      <c r="M20" s="5"/>
    </row>
    <row r="21" spans="1:13" ht="14.25">
      <c r="A21" s="58"/>
      <c r="B21" s="94" t="s">
        <v>159</v>
      </c>
      <c r="C21" s="115"/>
      <c r="D21" s="73"/>
      <c r="E21" s="13"/>
      <c r="F21" s="74"/>
      <c r="G21" s="4"/>
      <c r="H21" s="5"/>
      <c r="I21" s="5"/>
      <c r="J21" s="5"/>
      <c r="K21" s="5"/>
      <c r="L21" s="5"/>
      <c r="M21" s="5"/>
    </row>
    <row r="22" spans="1:13" ht="14.25">
      <c r="A22" s="58"/>
      <c r="B22" s="94" t="s">
        <v>48</v>
      </c>
      <c r="C22" s="115">
        <v>1</v>
      </c>
      <c r="D22" s="73">
        <v>-2</v>
      </c>
      <c r="E22" s="13">
        <f>VLOOKUP(B22,'kl cua'!$B$6:$D$20,3,0)</f>
        <v>2.3</v>
      </c>
      <c r="F22" s="74">
        <v>0.2</v>
      </c>
      <c r="G22" s="4">
        <f>VLOOKUP(B22,'kl cua'!$B$6:$E$20,4,0)</f>
        <v>2</v>
      </c>
      <c r="H22" s="5"/>
      <c r="I22" s="5">
        <f aca="true" t="shared" si="3" ref="I22:I27">+C22*D22*E22*F22*G22</f>
        <v>-1.8399999999999999</v>
      </c>
      <c r="J22" s="5"/>
      <c r="K22" s="5" t="s">
        <v>193</v>
      </c>
      <c r="L22" s="5">
        <f>IF(OR(K22="n",K22="n+t"),C22*D22*(E22*G22-J22),0)</f>
        <v>-9.2</v>
      </c>
      <c r="M22" s="5">
        <f aca="true" t="shared" si="4" ref="M22:M27">IF(OR(K22="t",K22="n+t"),C22*D22*(E22*G22-J22),0)</f>
        <v>-9.2</v>
      </c>
    </row>
    <row r="23" spans="1:13" ht="15">
      <c r="A23" s="14">
        <v>4</v>
      </c>
      <c r="B23" s="80" t="s">
        <v>23</v>
      </c>
      <c r="C23" s="115"/>
      <c r="D23" s="73"/>
      <c r="E23" s="13"/>
      <c r="F23" s="74"/>
      <c r="G23" s="4"/>
      <c r="H23" s="5">
        <f>+C23*D23*E23*F23</f>
        <v>0</v>
      </c>
      <c r="I23" s="5">
        <f t="shared" si="3"/>
        <v>0</v>
      </c>
      <c r="J23" s="5"/>
      <c r="K23" s="5" t="s">
        <v>189</v>
      </c>
      <c r="L23" s="5">
        <f>IF(OR(K23="n",K23="n+t"),C23*D23*(E23*G23-J23),0)</f>
        <v>0</v>
      </c>
      <c r="M23" s="5">
        <f t="shared" si="4"/>
        <v>0</v>
      </c>
    </row>
    <row r="24" spans="1:13" ht="14.25">
      <c r="A24" s="58" t="s">
        <v>272</v>
      </c>
      <c r="B24" s="94" t="s">
        <v>196</v>
      </c>
      <c r="C24" s="115">
        <v>1</v>
      </c>
      <c r="D24" s="73">
        <v>2</v>
      </c>
      <c r="E24" s="13">
        <f>2*3.6-2*0.2</f>
        <v>6.8</v>
      </c>
      <c r="F24" s="74">
        <v>0.2</v>
      </c>
      <c r="G24" s="4">
        <f>3.9-0.3</f>
        <v>3.6</v>
      </c>
      <c r="H24" s="5">
        <f>+C24*D24*E24*F24</f>
        <v>2.72</v>
      </c>
      <c r="I24" s="5">
        <f t="shared" si="3"/>
        <v>9.792000000000002</v>
      </c>
      <c r="J24" s="5"/>
      <c r="K24" s="5" t="s">
        <v>191</v>
      </c>
      <c r="L24" s="5">
        <f>IF(OR(K24="n",K24="n+t"),C24*D24*(E24*G24-J24),0)</f>
        <v>0</v>
      </c>
      <c r="M24" s="5">
        <f t="shared" si="4"/>
        <v>48.96</v>
      </c>
    </row>
    <row r="25" spans="1:13" ht="14.25">
      <c r="A25" s="58"/>
      <c r="B25" s="94"/>
      <c r="C25" s="115">
        <v>1</v>
      </c>
      <c r="D25" s="73">
        <v>2</v>
      </c>
      <c r="E25" s="13">
        <f>2*3.6+0.1-0.8</f>
        <v>6.5</v>
      </c>
      <c r="F25" s="74">
        <v>0.1</v>
      </c>
      <c r="G25" s="4">
        <f>+G24</f>
        <v>3.6</v>
      </c>
      <c r="H25" s="5"/>
      <c r="I25" s="5">
        <f t="shared" si="3"/>
        <v>4.680000000000001</v>
      </c>
      <c r="J25" s="5"/>
      <c r="K25" s="5" t="s">
        <v>189</v>
      </c>
      <c r="L25" s="5">
        <f>IF(OR(K25="n",K25="n+t"),C25*D25*(E25*G25-J25),0)</f>
        <v>46.800000000000004</v>
      </c>
      <c r="M25" s="5">
        <f t="shared" si="4"/>
        <v>0</v>
      </c>
    </row>
    <row r="26" spans="1:13" ht="14.25">
      <c r="A26" s="58"/>
      <c r="B26" s="94" t="s">
        <v>190</v>
      </c>
      <c r="C26" s="115">
        <v>1</v>
      </c>
      <c r="D26" s="73">
        <v>2</v>
      </c>
      <c r="E26" s="13">
        <f>4*0.1</f>
        <v>0.4</v>
      </c>
      <c r="F26" s="74"/>
      <c r="G26" s="4">
        <v>3.5</v>
      </c>
      <c r="H26" s="5"/>
      <c r="I26" s="5">
        <f t="shared" si="3"/>
        <v>0</v>
      </c>
      <c r="J26" s="5"/>
      <c r="K26" s="5" t="s">
        <v>189</v>
      </c>
      <c r="L26" s="5">
        <f>IF(OR(K26="n",K26="n+t"),C26*D26*(E26*G26-J26),0)</f>
        <v>2.8000000000000003</v>
      </c>
      <c r="M26" s="5">
        <f t="shared" si="4"/>
        <v>0</v>
      </c>
    </row>
    <row r="27" spans="1:13" ht="14.25">
      <c r="A27" s="58"/>
      <c r="B27" s="116" t="s">
        <v>172</v>
      </c>
      <c r="C27" s="115">
        <v>1</v>
      </c>
      <c r="D27" s="73">
        <v>-2</v>
      </c>
      <c r="E27" s="13">
        <f>2*2</f>
        <v>4</v>
      </c>
      <c r="F27" s="74">
        <v>0.1</v>
      </c>
      <c r="G27" s="4">
        <f>+G25</f>
        <v>3.6</v>
      </c>
      <c r="H27" s="5">
        <f>+C27*D27*E27*F27</f>
        <v>-0.8</v>
      </c>
      <c r="I27" s="5">
        <f t="shared" si="3"/>
        <v>-2.8800000000000003</v>
      </c>
      <c r="J27" s="5"/>
      <c r="K27" s="5"/>
      <c r="L27" s="5"/>
      <c r="M27" s="5">
        <f t="shared" si="4"/>
        <v>0</v>
      </c>
    </row>
    <row r="28" spans="1:13" ht="14.25">
      <c r="A28" s="58"/>
      <c r="B28" s="94" t="s">
        <v>159</v>
      </c>
      <c r="C28" s="115"/>
      <c r="D28" s="73"/>
      <c r="E28" s="13"/>
      <c r="F28" s="74"/>
      <c r="G28" s="4"/>
      <c r="H28" s="5"/>
      <c r="I28" s="5"/>
      <c r="J28" s="5"/>
      <c r="K28" s="5"/>
      <c r="L28" s="5"/>
      <c r="M28" s="5"/>
    </row>
    <row r="29" spans="1:13" ht="14.25">
      <c r="A29" s="58"/>
      <c r="B29" s="94" t="s">
        <v>49</v>
      </c>
      <c r="C29" s="115">
        <v>1</v>
      </c>
      <c r="D29" s="73">
        <v>-4</v>
      </c>
      <c r="E29" s="13">
        <f>VLOOKUP(B29,'kl cua'!$B$6:$D$20,3,0)</f>
        <v>2</v>
      </c>
      <c r="F29" s="74">
        <v>0.2</v>
      </c>
      <c r="G29" s="4">
        <f>VLOOKUP(B29,'kl cua'!$B$6:$E$20,4,0)</f>
        <v>2</v>
      </c>
      <c r="H29" s="5"/>
      <c r="I29" s="5">
        <f>+C29*D29*E29*F29*G29</f>
        <v>-3.2</v>
      </c>
      <c r="J29" s="5"/>
      <c r="K29" s="5" t="s">
        <v>193</v>
      </c>
      <c r="L29" s="5">
        <f>IF(OR(K29="n",K29="n+t"),C29*D29*(E29*G29-J29),0)</f>
        <v>-16</v>
      </c>
      <c r="M29" s="5">
        <f>IF(OR(K29="t",K29="n+t"),C29*D29*(E29*G29-J29),0)</f>
        <v>-16</v>
      </c>
    </row>
    <row r="30" spans="1:13" s="21" customFormat="1" ht="14.25">
      <c r="A30" s="58" t="s">
        <v>273</v>
      </c>
      <c r="B30" s="94" t="s">
        <v>135</v>
      </c>
      <c r="C30" s="115">
        <v>1</v>
      </c>
      <c r="D30" s="73">
        <v>1</v>
      </c>
      <c r="E30" s="13">
        <f>4.2-0.2</f>
        <v>4</v>
      </c>
      <c r="F30" s="74">
        <v>0.2</v>
      </c>
      <c r="G30" s="4">
        <f>3.9-0.1</f>
        <v>3.8</v>
      </c>
      <c r="H30" s="5">
        <f>+C30*D30*E30*F30</f>
        <v>0.8</v>
      </c>
      <c r="I30" s="5">
        <f>+C30*D30*E30*F30*G30</f>
        <v>3.04</v>
      </c>
      <c r="J30" s="5"/>
      <c r="K30" s="5" t="s">
        <v>193</v>
      </c>
      <c r="L30" s="5">
        <f>IF(OR(K30="n",K30="n+t"),C30*D30*(E30*G30-J30),0)</f>
        <v>15.2</v>
      </c>
      <c r="M30" s="5">
        <f>IF(OR(K30="t",K30="n+t"),C30*D30*(E30*G30-J30),0)</f>
        <v>15.2</v>
      </c>
    </row>
    <row r="31" spans="1:13" ht="14.25">
      <c r="A31" s="58"/>
      <c r="B31" s="94" t="s">
        <v>198</v>
      </c>
      <c r="C31" s="115"/>
      <c r="D31" s="73"/>
      <c r="E31" s="13"/>
      <c r="F31" s="74"/>
      <c r="G31" s="4"/>
      <c r="H31" s="5"/>
      <c r="I31" s="5"/>
      <c r="J31" s="5"/>
      <c r="K31" s="5"/>
      <c r="L31" s="5"/>
      <c r="M31" s="5"/>
    </row>
    <row r="32" spans="1:13" ht="14.25">
      <c r="A32" s="58"/>
      <c r="B32" s="94" t="s">
        <v>91</v>
      </c>
      <c r="C32" s="115">
        <v>1</v>
      </c>
      <c r="D32" s="73">
        <v>-1</v>
      </c>
      <c r="E32" s="13">
        <f>VLOOKUP(B32,'kl cua'!$B$6:$D$20,3,0)</f>
        <v>4</v>
      </c>
      <c r="F32" s="74">
        <v>0.2</v>
      </c>
      <c r="G32" s="4">
        <f>VLOOKUP(B32,'kl cua'!$B$6:$E$20,4,0)</f>
        <v>2.9</v>
      </c>
      <c r="H32" s="5"/>
      <c r="I32" s="5">
        <f>+C32*D32*E32*F32*G32</f>
        <v>-2.32</v>
      </c>
      <c r="J32" s="5"/>
      <c r="K32" s="5" t="s">
        <v>193</v>
      </c>
      <c r="L32" s="5">
        <f>IF(OR(K32="n",K32="n+t"),C32*D32*(E32*G32-J32),0)</f>
        <v>-11.6</v>
      </c>
      <c r="M32" s="5">
        <f>IF(OR(K32="t",K32="n+t"),C32*D32*(E32*G32-J32),0)</f>
        <v>-11.6</v>
      </c>
    </row>
    <row r="33" spans="1:13" ht="15">
      <c r="A33" s="14">
        <v>5</v>
      </c>
      <c r="B33" s="80" t="s">
        <v>24</v>
      </c>
      <c r="C33" s="115">
        <v>1</v>
      </c>
      <c r="D33" s="73"/>
      <c r="E33" s="13"/>
      <c r="F33" s="74"/>
      <c r="G33" s="4"/>
      <c r="H33" s="5">
        <f>+C33*D33*E33*F33</f>
        <v>0</v>
      </c>
      <c r="I33" s="5">
        <f>+C33*D33*E33*F33*G33</f>
        <v>0</v>
      </c>
      <c r="J33" s="5"/>
      <c r="K33" s="5" t="s">
        <v>189</v>
      </c>
      <c r="L33" s="5">
        <f>IF(OR(K33="n",K33="n+t"),C33*D33*(E33*G33-J33),0)</f>
        <v>0</v>
      </c>
      <c r="M33" s="5">
        <f>IF(OR(K33="t",K33="n+t"),C33*D33*(E33*G33-J33),0)</f>
        <v>0</v>
      </c>
    </row>
    <row r="34" spans="1:13" ht="14.25">
      <c r="A34" s="58"/>
      <c r="B34" s="94" t="s">
        <v>199</v>
      </c>
      <c r="C34" s="115">
        <v>1</v>
      </c>
      <c r="D34" s="73">
        <v>2</v>
      </c>
      <c r="E34" s="13">
        <f>6.6-2*(0.45-0.1)</f>
        <v>5.8999999999999995</v>
      </c>
      <c r="F34" s="74">
        <v>0.2</v>
      </c>
      <c r="G34" s="4">
        <f>3.9-0.55</f>
        <v>3.3499999999999996</v>
      </c>
      <c r="H34" s="5">
        <f>+C34*D34*E34*F34</f>
        <v>2.36</v>
      </c>
      <c r="I34" s="5">
        <f>+C34*D34*E34*F34*G34</f>
        <v>7.905999999999999</v>
      </c>
      <c r="J34" s="5"/>
      <c r="K34" s="5" t="s">
        <v>193</v>
      </c>
      <c r="L34" s="5">
        <f>IF(OR(K34="n",K34="n+t"),C34*D34*(E34*G34-J34),0)</f>
        <v>39.529999999999994</v>
      </c>
      <c r="M34" s="5">
        <f>IF(OR(K34="t",K34="n+t"),C34*D34*(E34*G34-J34),0)</f>
        <v>39.529999999999994</v>
      </c>
    </row>
    <row r="35" spans="1:15" ht="14.25">
      <c r="A35" s="58"/>
      <c r="B35" s="94" t="s">
        <v>200</v>
      </c>
      <c r="C35" s="115">
        <v>1</v>
      </c>
      <c r="D35" s="73">
        <v>2</v>
      </c>
      <c r="E35" s="13">
        <f>1.7-0.1</f>
        <v>1.5999999999999999</v>
      </c>
      <c r="F35" s="74">
        <v>0.2</v>
      </c>
      <c r="G35" s="4">
        <f>3.9-0.3</f>
        <v>3.6</v>
      </c>
      <c r="H35" s="5">
        <f>+C35*D35*E35*F35</f>
        <v>0.64</v>
      </c>
      <c r="I35" s="5">
        <f>+C35*D35*E35*F35*G35</f>
        <v>2.3040000000000003</v>
      </c>
      <c r="J35" s="5"/>
      <c r="K35" s="5" t="s">
        <v>193</v>
      </c>
      <c r="L35" s="5">
        <f>IF(OR(K35="n",K35="n+t"),C35*D35*(E35*G35-J35),0)</f>
        <v>11.52</v>
      </c>
      <c r="M35" s="5">
        <f>IF(OR(K35="t",K35="n+t"),C35*D35*(E35*G35-J35),0)</f>
        <v>11.52</v>
      </c>
      <c r="O35" s="75"/>
    </row>
    <row r="36" spans="1:13" ht="14.25">
      <c r="A36" s="58"/>
      <c r="B36" s="94" t="s">
        <v>159</v>
      </c>
      <c r="C36" s="115"/>
      <c r="D36" s="73"/>
      <c r="E36" s="13"/>
      <c r="F36" s="74"/>
      <c r="G36" s="4"/>
      <c r="H36" s="5"/>
      <c r="I36" s="5"/>
      <c r="J36" s="5"/>
      <c r="K36" s="5"/>
      <c r="L36" s="5"/>
      <c r="M36" s="5"/>
    </row>
    <row r="37" spans="1:13" ht="14.25">
      <c r="A37" s="58"/>
      <c r="B37" s="94" t="s">
        <v>192</v>
      </c>
      <c r="C37" s="115">
        <v>1</v>
      </c>
      <c r="D37" s="73">
        <v>-2</v>
      </c>
      <c r="E37" s="13">
        <f>VLOOKUP(B37,'kl cua'!$B$6:$D$20,3,0)</f>
        <v>1.2</v>
      </c>
      <c r="F37" s="74">
        <v>0.2</v>
      </c>
      <c r="G37" s="4">
        <f>VLOOKUP(B37,'kl cua'!$B$6:$E$20,4,0)</f>
        <v>0.65</v>
      </c>
      <c r="H37" s="5"/>
      <c r="I37" s="5">
        <f>+C37*D37*E37*F37*G37</f>
        <v>-0.312</v>
      </c>
      <c r="J37" s="5"/>
      <c r="K37" s="5" t="s">
        <v>193</v>
      </c>
      <c r="L37" s="5">
        <f>IF(OR(K37="n",K37="n+t"),C37*D37*(E37*G37-J37),0)</f>
        <v>-1.56</v>
      </c>
      <c r="M37" s="5">
        <f>IF(OR(K37="t",K37="n+t"),C37*D37*(E37*G37-J37),0)</f>
        <v>-1.56</v>
      </c>
    </row>
    <row r="38" spans="1:13" ht="14.25">
      <c r="A38" s="58"/>
      <c r="B38" s="94" t="s">
        <v>195</v>
      </c>
      <c r="C38" s="115">
        <v>1</v>
      </c>
      <c r="D38" s="73">
        <v>-2</v>
      </c>
      <c r="E38" s="13">
        <f>VLOOKUP(B38,'kl cua'!$B$6:$D$20,3,0)</f>
        <v>1.2</v>
      </c>
      <c r="F38" s="74">
        <v>0.2</v>
      </c>
      <c r="G38" s="4">
        <f>VLOOKUP(B38,'kl cua'!$B$6:$E$20,4,0)</f>
        <v>2</v>
      </c>
      <c r="H38" s="5"/>
      <c r="I38" s="5">
        <f>+C38*D38*E38*F38*G38</f>
        <v>-0.96</v>
      </c>
      <c r="J38" s="5"/>
      <c r="K38" s="5" t="s">
        <v>193</v>
      </c>
      <c r="L38" s="5">
        <f>IF(OR(K38="n",K38="n+t"),C38*D38*(E38*G38-J38),0)</f>
        <v>-4.8</v>
      </c>
      <c r="M38" s="5">
        <f>IF(OR(K38="t",K38="n+t"),C38*D38*(E38*G38-J38),0)</f>
        <v>-4.8</v>
      </c>
    </row>
    <row r="39" spans="1:13" ht="14.25">
      <c r="A39" s="58"/>
      <c r="B39" s="94" t="s">
        <v>0</v>
      </c>
      <c r="C39" s="115">
        <v>1</v>
      </c>
      <c r="D39" s="73">
        <v>-2</v>
      </c>
      <c r="E39" s="13">
        <v>1.4</v>
      </c>
      <c r="F39" s="74">
        <v>0.2</v>
      </c>
      <c r="G39" s="4">
        <v>2.9</v>
      </c>
      <c r="H39" s="5"/>
      <c r="I39" s="5">
        <f>+C39*D39*E39*F39*G39</f>
        <v>-1.6239999999999999</v>
      </c>
      <c r="J39" s="5"/>
      <c r="K39" s="5" t="s">
        <v>193</v>
      </c>
      <c r="L39" s="5">
        <f>IF(OR(K39="n",K39="n+t"),C39*D39*(E39*G39-J39),0)</f>
        <v>-8.12</v>
      </c>
      <c r="M39" s="5">
        <f>IF(OR(K39="t",K39="n+t"),C39*D39*(E39*G39-J39),0)</f>
        <v>-8.12</v>
      </c>
    </row>
    <row r="40" spans="1:13" ht="15">
      <c r="A40" s="14">
        <v>6</v>
      </c>
      <c r="B40" s="80" t="s">
        <v>201</v>
      </c>
      <c r="C40" s="115">
        <v>1</v>
      </c>
      <c r="D40" s="73">
        <v>2</v>
      </c>
      <c r="E40" s="13">
        <f>0.6-0.2</f>
        <v>0.39999999999999997</v>
      </c>
      <c r="F40" s="74">
        <v>0.2</v>
      </c>
      <c r="G40" s="4">
        <f>3.9-0.3</f>
        <v>3.6</v>
      </c>
      <c r="H40" s="5">
        <f>+C40*D40*E40*F40</f>
        <v>0.16</v>
      </c>
      <c r="I40" s="5">
        <f>+C40*D40*E40*F40*G40</f>
        <v>0.5760000000000001</v>
      </c>
      <c r="J40" s="5"/>
      <c r="K40" s="5" t="s">
        <v>193</v>
      </c>
      <c r="L40" s="5">
        <f>IF(OR(K40="n",K40="n+t"),C40*D40*(E40*G40-J40),0)</f>
        <v>2.88</v>
      </c>
      <c r="M40" s="5">
        <f>IF(OR(K40="t",K40="n+t"),C40*D40*(E40*G40-J40),0)</f>
        <v>2.88</v>
      </c>
    </row>
    <row r="41" spans="1:13" ht="15">
      <c r="A41" s="14">
        <v>7</v>
      </c>
      <c r="B41" s="80" t="s">
        <v>25</v>
      </c>
      <c r="C41" s="115">
        <v>1</v>
      </c>
      <c r="D41" s="73">
        <v>2</v>
      </c>
      <c r="E41" s="13">
        <f>0.8-0.1</f>
        <v>0.7000000000000001</v>
      </c>
      <c r="F41" s="74">
        <v>0.2</v>
      </c>
      <c r="G41" s="4">
        <f>3.9-0.3</f>
        <v>3.6</v>
      </c>
      <c r="H41" s="5">
        <f>+C41*D41*E41*F41</f>
        <v>0.28</v>
      </c>
      <c r="I41" s="5">
        <f>+C41*D41*E41*F41*G41</f>
        <v>1.0080000000000002</v>
      </c>
      <c r="J41" s="5"/>
      <c r="K41" s="5" t="s">
        <v>189</v>
      </c>
      <c r="L41" s="5">
        <f>IF(OR(K41="n",K41="n+t"),C41*D41*(E41*G41-J41),0)</f>
        <v>5.040000000000001</v>
      </c>
      <c r="M41" s="5">
        <f>IF(OR(K41="t",K41="n+t"),C41*D41*(E41*G41-J41),0)</f>
        <v>0</v>
      </c>
    </row>
    <row r="42" spans="1:13" ht="15">
      <c r="A42" s="14">
        <v>8</v>
      </c>
      <c r="B42" s="80" t="s">
        <v>26</v>
      </c>
      <c r="C42" s="115"/>
      <c r="D42" s="73"/>
      <c r="E42" s="13"/>
      <c r="F42" s="74"/>
      <c r="G42" s="4"/>
      <c r="H42" s="5"/>
      <c r="I42" s="5"/>
      <c r="J42" s="5"/>
      <c r="K42" s="5"/>
      <c r="L42" s="5"/>
      <c r="M42" s="5"/>
    </row>
    <row r="43" spans="1:13" ht="15">
      <c r="A43" s="14"/>
      <c r="B43" s="94" t="s">
        <v>27</v>
      </c>
      <c r="C43" s="115">
        <v>1</v>
      </c>
      <c r="D43" s="73">
        <v>1</v>
      </c>
      <c r="E43" s="13">
        <f>26.4+2*0.2+2*(0.8+0.2)+2*(6.6+2*0.1)+2*(3.9+2*3.6+2*0.1-0.8+0.6)</f>
        <v>64.6</v>
      </c>
      <c r="F43" s="74">
        <v>0.1</v>
      </c>
      <c r="G43" s="4">
        <v>0.1</v>
      </c>
      <c r="H43" s="5"/>
      <c r="I43" s="5">
        <f aca="true" t="shared" si="5" ref="I43:I48">+C43*D43*E43*F43*G43</f>
        <v>0.646</v>
      </c>
      <c r="J43" s="5"/>
      <c r="K43" s="5"/>
      <c r="L43" s="5">
        <f aca="true" t="shared" si="6" ref="L43:L48">+C43*D43*E43*(2*F43+G43)</f>
        <v>19.380000000000003</v>
      </c>
      <c r="M43" s="5">
        <f>IF(OR(K43="t",K43="n+t"),C43*D43*(E43*G43-J43),0)</f>
        <v>0</v>
      </c>
    </row>
    <row r="44" spans="1:13" ht="29.25">
      <c r="A44" s="14"/>
      <c r="B44" s="116" t="s">
        <v>173</v>
      </c>
      <c r="C44" s="115">
        <v>1</v>
      </c>
      <c r="D44" s="73">
        <v>2</v>
      </c>
      <c r="E44" s="13">
        <f>3*1.2+0.6+2.3+2*2</f>
        <v>10.5</v>
      </c>
      <c r="F44" s="74">
        <v>0.1</v>
      </c>
      <c r="G44" s="4">
        <v>0.1</v>
      </c>
      <c r="H44" s="5"/>
      <c r="I44" s="5">
        <f t="shared" si="5"/>
        <v>0.21000000000000002</v>
      </c>
      <c r="J44" s="5"/>
      <c r="K44" s="5"/>
      <c r="L44" s="5">
        <f t="shared" si="6"/>
        <v>6.300000000000001</v>
      </c>
      <c r="M44" s="5"/>
    </row>
    <row r="45" spans="1:13" ht="15">
      <c r="A45" s="14">
        <v>9</v>
      </c>
      <c r="B45" s="80" t="s">
        <v>28</v>
      </c>
      <c r="C45" s="115">
        <v>1</v>
      </c>
      <c r="D45" s="73">
        <v>10</v>
      </c>
      <c r="E45" s="13">
        <v>1.2</v>
      </c>
      <c r="F45" s="74">
        <v>0.06</v>
      </c>
      <c r="G45" s="4">
        <v>0.1</v>
      </c>
      <c r="H45" s="5"/>
      <c r="I45" s="5">
        <f t="shared" si="5"/>
        <v>0.072</v>
      </c>
      <c r="J45" s="5"/>
      <c r="K45" s="5"/>
      <c r="L45" s="5">
        <f t="shared" si="6"/>
        <v>2.64</v>
      </c>
      <c r="M45" s="5"/>
    </row>
    <row r="46" spans="1:13" ht="15">
      <c r="A46" s="14"/>
      <c r="B46" s="80"/>
      <c r="C46" s="115">
        <v>1</v>
      </c>
      <c r="D46" s="73">
        <v>2</v>
      </c>
      <c r="E46" s="13">
        <v>2.3</v>
      </c>
      <c r="F46" s="74">
        <v>0.06</v>
      </c>
      <c r="G46" s="4">
        <v>0.1</v>
      </c>
      <c r="H46" s="5"/>
      <c r="I46" s="5">
        <f t="shared" si="5"/>
        <v>0.0276</v>
      </c>
      <c r="J46" s="5"/>
      <c r="K46" s="5"/>
      <c r="L46" s="5">
        <f t="shared" si="6"/>
        <v>1.012</v>
      </c>
      <c r="M46" s="5"/>
    </row>
    <row r="47" spans="1:13" ht="15">
      <c r="A47" s="14"/>
      <c r="B47" s="80"/>
      <c r="C47" s="115">
        <v>1</v>
      </c>
      <c r="D47" s="73">
        <v>4</v>
      </c>
      <c r="E47" s="13">
        <v>2</v>
      </c>
      <c r="F47" s="74">
        <v>0.06</v>
      </c>
      <c r="G47" s="4">
        <v>0.1</v>
      </c>
      <c r="H47" s="5"/>
      <c r="I47" s="5">
        <f t="shared" si="5"/>
        <v>0.048</v>
      </c>
      <c r="J47" s="5"/>
      <c r="K47" s="5"/>
      <c r="L47" s="5">
        <f t="shared" si="6"/>
        <v>1.76</v>
      </c>
      <c r="M47" s="5"/>
    </row>
    <row r="48" spans="1:13" ht="15">
      <c r="A48" s="14"/>
      <c r="B48" s="80"/>
      <c r="C48" s="115">
        <v>1</v>
      </c>
      <c r="D48" s="73">
        <v>2</v>
      </c>
      <c r="E48" s="13">
        <v>0.6</v>
      </c>
      <c r="F48" s="74">
        <v>0.06</v>
      </c>
      <c r="G48" s="4">
        <v>0.1</v>
      </c>
      <c r="H48" s="5"/>
      <c r="I48" s="5">
        <f t="shared" si="5"/>
        <v>0.0072</v>
      </c>
      <c r="J48" s="5"/>
      <c r="K48" s="5"/>
      <c r="L48" s="5">
        <f t="shared" si="6"/>
        <v>0.264</v>
      </c>
      <c r="M48" s="5"/>
    </row>
    <row r="49" spans="1:15" s="21" customFormat="1" ht="15">
      <c r="A49" s="14"/>
      <c r="B49" s="102" t="s">
        <v>29</v>
      </c>
      <c r="C49" s="120"/>
      <c r="D49" s="105"/>
      <c r="E49" s="8"/>
      <c r="F49" s="106"/>
      <c r="G49" s="7"/>
      <c r="H49" s="8"/>
      <c r="I49" s="8"/>
      <c r="J49" s="8"/>
      <c r="K49" s="8"/>
      <c r="L49" s="8">
        <f>SUM(L51:L115)*0.85</f>
        <v>408.3314999999999</v>
      </c>
      <c r="M49" s="8">
        <f>SUM(M51:M100)*0.8</f>
        <v>376.5424</v>
      </c>
      <c r="O49" s="121"/>
    </row>
    <row r="50" spans="1:15" s="21" customFormat="1" ht="15">
      <c r="A50" s="14"/>
      <c r="B50" s="102" t="s">
        <v>202</v>
      </c>
      <c r="C50" s="120"/>
      <c r="D50" s="105"/>
      <c r="E50" s="8"/>
      <c r="F50" s="106"/>
      <c r="G50" s="7"/>
      <c r="H50" s="8"/>
      <c r="I50" s="8"/>
      <c r="J50" s="8"/>
      <c r="K50" s="8"/>
      <c r="L50" s="8"/>
      <c r="M50" s="8"/>
      <c r="O50" s="121"/>
    </row>
    <row r="51" spans="1:13" ht="15">
      <c r="A51" s="14">
        <v>1</v>
      </c>
      <c r="B51" s="80" t="s">
        <v>20</v>
      </c>
      <c r="C51" s="115">
        <v>2</v>
      </c>
      <c r="D51" s="73">
        <v>2</v>
      </c>
      <c r="E51" s="13">
        <f>0.1+3.9+2*3.6+0.7</f>
        <v>11.899999999999999</v>
      </c>
      <c r="F51" s="74">
        <v>0.1</v>
      </c>
      <c r="G51" s="4">
        <f>3.6-0.12</f>
        <v>3.48</v>
      </c>
      <c r="H51" s="5">
        <f>+C51*D51*E51*F51</f>
        <v>4.76</v>
      </c>
      <c r="I51" s="5">
        <f>+C51*D51*E51*F51*G51</f>
        <v>16.564799999999998</v>
      </c>
      <c r="J51" s="5"/>
      <c r="K51" s="5" t="s">
        <v>189</v>
      </c>
      <c r="L51" s="5">
        <f aca="true" t="shared" si="7" ref="L51:L65">IF(OR(K51="n",K51="n+t"),C51*D51*(E51*G51-J51),0)</f>
        <v>165.64799999999997</v>
      </c>
      <c r="M51" s="5">
        <f aca="true" t="shared" si="8" ref="M51:M65">IF(OR(K51="t",K51="n+t"),C51*D51*(E51*G51-J51),0)</f>
        <v>0</v>
      </c>
    </row>
    <row r="52" spans="1:13" ht="14.25">
      <c r="A52" s="58"/>
      <c r="B52" s="94" t="s">
        <v>190</v>
      </c>
      <c r="C52" s="115">
        <v>2</v>
      </c>
      <c r="D52" s="73">
        <v>2</v>
      </c>
      <c r="E52" s="13">
        <f>9*0.1+0.3</f>
        <v>1.2</v>
      </c>
      <c r="F52" s="74"/>
      <c r="G52" s="4">
        <f>+G51</f>
        <v>3.48</v>
      </c>
      <c r="H52" s="5">
        <f>+C52*D52*E52*F52</f>
        <v>0</v>
      </c>
      <c r="I52" s="5">
        <f>+C52*D52*E52*F52*G52</f>
        <v>0</v>
      </c>
      <c r="J52" s="5"/>
      <c r="K52" s="5" t="s">
        <v>189</v>
      </c>
      <c r="L52" s="5">
        <f t="shared" si="7"/>
        <v>16.704</v>
      </c>
      <c r="M52" s="5">
        <f t="shared" si="8"/>
        <v>0</v>
      </c>
    </row>
    <row r="53" spans="1:13" ht="14.25">
      <c r="A53" s="58"/>
      <c r="B53" s="116" t="s">
        <v>172</v>
      </c>
      <c r="C53" s="115">
        <v>2</v>
      </c>
      <c r="D53" s="73">
        <v>-2</v>
      </c>
      <c r="E53" s="13">
        <f>3*1.2+0.6</f>
        <v>4.199999999999999</v>
      </c>
      <c r="F53" s="74">
        <v>0.1</v>
      </c>
      <c r="G53" s="4">
        <f>+G52</f>
        <v>3.48</v>
      </c>
      <c r="H53" s="5">
        <f>+C53*D53*E53*F53</f>
        <v>-1.6799999999999997</v>
      </c>
      <c r="I53" s="5">
        <f>+C53*D53*E53*F53*G53</f>
        <v>-5.846399999999999</v>
      </c>
      <c r="J53" s="5"/>
      <c r="K53" s="5"/>
      <c r="L53" s="5">
        <f t="shared" si="7"/>
        <v>0</v>
      </c>
      <c r="M53" s="5">
        <f t="shared" si="8"/>
        <v>0</v>
      </c>
    </row>
    <row r="54" spans="1:13" ht="14.25">
      <c r="A54" s="58"/>
      <c r="B54" s="94"/>
      <c r="C54" s="115">
        <v>2</v>
      </c>
      <c r="D54" s="73">
        <v>2</v>
      </c>
      <c r="E54" s="13">
        <f>3.9+2*3.6+0.7-3.5*0.2</f>
        <v>11.1</v>
      </c>
      <c r="F54" s="74">
        <v>0.2</v>
      </c>
      <c r="G54" s="4">
        <f>3.6-0.3</f>
        <v>3.3000000000000003</v>
      </c>
      <c r="H54" s="5">
        <f>+C54*D54*E54*F54</f>
        <v>8.88</v>
      </c>
      <c r="I54" s="5">
        <f>+C54*D54*E54*F54*G54</f>
        <v>29.304000000000006</v>
      </c>
      <c r="J54" s="5">
        <f>0.2*(3.6-0.4)</f>
        <v>0.6400000000000001</v>
      </c>
      <c r="K54" s="5" t="s">
        <v>191</v>
      </c>
      <c r="L54" s="5">
        <f t="shared" si="7"/>
        <v>0</v>
      </c>
      <c r="M54" s="5">
        <f t="shared" si="8"/>
        <v>143.96</v>
      </c>
    </row>
    <row r="55" spans="1:13" s="21" customFormat="1" ht="15">
      <c r="A55" s="14">
        <v>2</v>
      </c>
      <c r="B55" s="80" t="s">
        <v>22</v>
      </c>
      <c r="C55" s="115">
        <v>2</v>
      </c>
      <c r="D55" s="73">
        <v>2</v>
      </c>
      <c r="E55" s="13">
        <v>3.9</v>
      </c>
      <c r="F55" s="74">
        <v>0.2</v>
      </c>
      <c r="G55" s="59">
        <f>+G54</f>
        <v>3.3000000000000003</v>
      </c>
      <c r="H55" s="13">
        <f>+C55*D55*E55*F55</f>
        <v>3.12</v>
      </c>
      <c r="I55" s="13">
        <f>+C55*D55*E55*F55*G55</f>
        <v>10.296000000000001</v>
      </c>
      <c r="J55" s="13"/>
      <c r="K55" s="13" t="s">
        <v>193</v>
      </c>
      <c r="L55" s="13">
        <f t="shared" si="7"/>
        <v>51.480000000000004</v>
      </c>
      <c r="M55" s="13">
        <f t="shared" si="8"/>
        <v>51.480000000000004</v>
      </c>
    </row>
    <row r="56" spans="1:14" ht="14.25">
      <c r="A56" s="58"/>
      <c r="B56" s="94" t="s">
        <v>203</v>
      </c>
      <c r="C56" s="115">
        <v>2</v>
      </c>
      <c r="D56" s="73">
        <v>-2</v>
      </c>
      <c r="E56" s="13">
        <f>0.44+0.3+0.1</f>
        <v>0.84</v>
      </c>
      <c r="F56" s="74"/>
      <c r="G56" s="4">
        <f>3.6-0.12</f>
        <v>3.48</v>
      </c>
      <c r="H56" s="5"/>
      <c r="I56" s="5"/>
      <c r="J56" s="5"/>
      <c r="K56" s="5" t="s">
        <v>189</v>
      </c>
      <c r="L56" s="5">
        <f t="shared" si="7"/>
        <v>-11.6928</v>
      </c>
      <c r="M56" s="13">
        <f t="shared" si="8"/>
        <v>0</v>
      </c>
      <c r="N56" s="2" t="s">
        <v>204</v>
      </c>
    </row>
    <row r="57" spans="1:13" ht="15">
      <c r="A57" s="14">
        <v>3</v>
      </c>
      <c r="B57" s="80" t="s">
        <v>23</v>
      </c>
      <c r="C57" s="115"/>
      <c r="D57" s="73"/>
      <c r="E57" s="13"/>
      <c r="F57" s="74"/>
      <c r="G57" s="4"/>
      <c r="H57" s="5">
        <f>+C57*D57*E57*F57</f>
        <v>0</v>
      </c>
      <c r="I57" s="5">
        <f>+C57*D57*E57*F57*G57</f>
        <v>0</v>
      </c>
      <c r="J57" s="5"/>
      <c r="K57" s="5" t="s">
        <v>189</v>
      </c>
      <c r="L57" s="5">
        <f t="shared" si="7"/>
        <v>0</v>
      </c>
      <c r="M57" s="5">
        <f t="shared" si="8"/>
        <v>0</v>
      </c>
    </row>
    <row r="58" spans="1:15" ht="14.25">
      <c r="A58" s="58" t="s">
        <v>205</v>
      </c>
      <c r="B58" s="94" t="s">
        <v>196</v>
      </c>
      <c r="C58" s="115">
        <v>2</v>
      </c>
      <c r="D58" s="73">
        <v>2</v>
      </c>
      <c r="E58" s="13">
        <f>2*3.6-2*0.2</f>
        <v>6.8</v>
      </c>
      <c r="F58" s="74">
        <v>0.2</v>
      </c>
      <c r="G58" s="4">
        <f>3.6-0.3</f>
        <v>3.3000000000000003</v>
      </c>
      <c r="H58" s="5">
        <f>+C58*D58*E58*F58</f>
        <v>5.44</v>
      </c>
      <c r="I58" s="5">
        <f>+C58*D58*E58*F58*G58</f>
        <v>17.952</v>
      </c>
      <c r="J58" s="5"/>
      <c r="K58" s="5" t="s">
        <v>193</v>
      </c>
      <c r="L58" s="5">
        <f t="shared" si="7"/>
        <v>89.76</v>
      </c>
      <c r="M58" s="5">
        <f t="shared" si="8"/>
        <v>89.76</v>
      </c>
      <c r="O58" s="75"/>
    </row>
    <row r="59" spans="1:13" ht="14.25">
      <c r="A59" s="58"/>
      <c r="B59" s="94" t="s">
        <v>203</v>
      </c>
      <c r="C59" s="115">
        <v>2</v>
      </c>
      <c r="D59" s="73">
        <v>-2</v>
      </c>
      <c r="E59" s="13">
        <f>3*0.44</f>
        <v>1.32</v>
      </c>
      <c r="F59" s="74"/>
      <c r="G59" s="4">
        <f>3.6-0.12</f>
        <v>3.48</v>
      </c>
      <c r="H59" s="5"/>
      <c r="I59" s="5"/>
      <c r="J59" s="5"/>
      <c r="K59" s="5" t="s">
        <v>189</v>
      </c>
      <c r="L59" s="5">
        <f t="shared" si="7"/>
        <v>-18.3744</v>
      </c>
      <c r="M59" s="5">
        <f t="shared" si="8"/>
        <v>0</v>
      </c>
    </row>
    <row r="60" spans="1:13" s="21" customFormat="1" ht="14.25">
      <c r="A60" s="58" t="s">
        <v>206</v>
      </c>
      <c r="B60" s="94" t="s">
        <v>135</v>
      </c>
      <c r="C60" s="115">
        <v>1</v>
      </c>
      <c r="D60" s="73">
        <v>1</v>
      </c>
      <c r="E60" s="13">
        <f>4.2-0.2</f>
        <v>4</v>
      </c>
      <c r="F60" s="74">
        <v>0.2</v>
      </c>
      <c r="G60" s="59">
        <v>0.9</v>
      </c>
      <c r="H60" s="13">
        <f aca="true" t="shared" si="9" ref="H60:H65">+C60*D60*E60*F60</f>
        <v>0.8</v>
      </c>
      <c r="I60" s="13">
        <f aca="true" t="shared" si="10" ref="I60:I65">+C60*D60*E60*F60*G60</f>
        <v>0.7200000000000001</v>
      </c>
      <c r="J60" s="13"/>
      <c r="K60" s="13" t="s">
        <v>193</v>
      </c>
      <c r="L60" s="13">
        <f t="shared" si="7"/>
        <v>3.6</v>
      </c>
      <c r="M60" s="13">
        <f t="shared" si="8"/>
        <v>3.6</v>
      </c>
    </row>
    <row r="61" spans="1:13" s="21" customFormat="1" ht="15">
      <c r="A61" s="14">
        <v>4</v>
      </c>
      <c r="B61" s="80" t="s">
        <v>24</v>
      </c>
      <c r="C61" s="115">
        <v>2</v>
      </c>
      <c r="D61" s="73"/>
      <c r="E61" s="13"/>
      <c r="F61" s="74"/>
      <c r="G61" s="59"/>
      <c r="H61" s="13">
        <f t="shared" si="9"/>
        <v>0</v>
      </c>
      <c r="I61" s="13">
        <f t="shared" si="10"/>
        <v>0</v>
      </c>
      <c r="J61" s="13"/>
      <c r="K61" s="13" t="s">
        <v>189</v>
      </c>
      <c r="L61" s="13">
        <f t="shared" si="7"/>
        <v>0</v>
      </c>
      <c r="M61" s="13">
        <f t="shared" si="8"/>
        <v>0</v>
      </c>
    </row>
    <row r="62" spans="1:20" ht="14.25">
      <c r="A62" s="58"/>
      <c r="B62" s="94" t="s">
        <v>199</v>
      </c>
      <c r="C62" s="115">
        <v>2</v>
      </c>
      <c r="D62" s="73">
        <v>2</v>
      </c>
      <c r="E62" s="13">
        <f>6.6-2*(0.45-0.1)</f>
        <v>5.8999999999999995</v>
      </c>
      <c r="F62" s="74">
        <v>0.2</v>
      </c>
      <c r="G62" s="4">
        <f>3.6-0.55</f>
        <v>3.05</v>
      </c>
      <c r="H62" s="5">
        <f t="shared" si="9"/>
        <v>4.72</v>
      </c>
      <c r="I62" s="5">
        <f t="shared" si="10"/>
        <v>14.395999999999999</v>
      </c>
      <c r="J62" s="5"/>
      <c r="K62" s="5" t="s">
        <v>193</v>
      </c>
      <c r="L62" s="5">
        <f t="shared" si="7"/>
        <v>71.97999999999999</v>
      </c>
      <c r="M62" s="5">
        <f t="shared" si="8"/>
        <v>71.97999999999999</v>
      </c>
      <c r="T62" s="10"/>
    </row>
    <row r="63" spans="1:20" ht="14.25">
      <c r="A63" s="58"/>
      <c r="B63" s="94" t="s">
        <v>200</v>
      </c>
      <c r="C63" s="115">
        <v>2</v>
      </c>
      <c r="D63" s="73">
        <v>2</v>
      </c>
      <c r="E63" s="13">
        <f>1.8-0.2</f>
        <v>1.6</v>
      </c>
      <c r="F63" s="74">
        <v>0.2</v>
      </c>
      <c r="G63" s="4">
        <f>3.6-0.3</f>
        <v>3.3000000000000003</v>
      </c>
      <c r="H63" s="5">
        <f t="shared" si="9"/>
        <v>1.2800000000000002</v>
      </c>
      <c r="I63" s="5">
        <f t="shared" si="10"/>
        <v>4.224000000000001</v>
      </c>
      <c r="J63" s="5"/>
      <c r="K63" s="5" t="s">
        <v>193</v>
      </c>
      <c r="L63" s="5">
        <f t="shared" si="7"/>
        <v>21.120000000000005</v>
      </c>
      <c r="M63" s="5">
        <f t="shared" si="8"/>
        <v>21.120000000000005</v>
      </c>
      <c r="O63" s="75"/>
      <c r="T63" s="10"/>
    </row>
    <row r="64" spans="1:13" ht="15">
      <c r="A64" s="14">
        <v>5</v>
      </c>
      <c r="B64" s="80" t="s">
        <v>201</v>
      </c>
      <c r="C64" s="115">
        <v>2</v>
      </c>
      <c r="D64" s="73">
        <v>2</v>
      </c>
      <c r="E64" s="13">
        <f>0.6-0.2</f>
        <v>0.39999999999999997</v>
      </c>
      <c r="F64" s="74">
        <v>0.2</v>
      </c>
      <c r="G64" s="4">
        <f>3.6-0.3</f>
        <v>3.3000000000000003</v>
      </c>
      <c r="H64" s="5">
        <f t="shared" si="9"/>
        <v>0.32</v>
      </c>
      <c r="I64" s="5">
        <f t="shared" si="10"/>
        <v>1.056</v>
      </c>
      <c r="J64" s="5"/>
      <c r="K64" s="5" t="s">
        <v>193</v>
      </c>
      <c r="L64" s="5">
        <f t="shared" si="7"/>
        <v>5.28</v>
      </c>
      <c r="M64" s="5">
        <f t="shared" si="8"/>
        <v>5.28</v>
      </c>
    </row>
    <row r="65" spans="1:13" ht="15">
      <c r="A65" s="14">
        <v>6</v>
      </c>
      <c r="B65" s="80" t="s">
        <v>25</v>
      </c>
      <c r="C65" s="115">
        <v>2</v>
      </c>
      <c r="D65" s="73">
        <v>2</v>
      </c>
      <c r="E65" s="13">
        <f>0.8+0.2-0.1</f>
        <v>0.9</v>
      </c>
      <c r="F65" s="74">
        <v>0.2</v>
      </c>
      <c r="G65" s="4">
        <f>3.6-0.3</f>
        <v>3.3000000000000003</v>
      </c>
      <c r="H65" s="5">
        <f t="shared" si="9"/>
        <v>0.7200000000000001</v>
      </c>
      <c r="I65" s="5">
        <f t="shared" si="10"/>
        <v>2.3760000000000003</v>
      </c>
      <c r="J65" s="5"/>
      <c r="K65" s="5" t="s">
        <v>189</v>
      </c>
      <c r="L65" s="5">
        <f t="shared" si="7"/>
        <v>11.88</v>
      </c>
      <c r="M65" s="5">
        <f t="shared" si="8"/>
        <v>0</v>
      </c>
    </row>
    <row r="66" spans="1:13" ht="15">
      <c r="A66" s="14">
        <v>8</v>
      </c>
      <c r="B66" s="80" t="s">
        <v>28</v>
      </c>
      <c r="C66" s="115">
        <v>2</v>
      </c>
      <c r="D66" s="73">
        <v>12</v>
      </c>
      <c r="E66" s="13">
        <v>1.2</v>
      </c>
      <c r="F66" s="74">
        <v>0.06</v>
      </c>
      <c r="G66" s="4">
        <v>0.1</v>
      </c>
      <c r="H66" s="5"/>
      <c r="I66" s="5">
        <f>+C66*D66*E66*F66*G66</f>
        <v>0.17279999999999998</v>
      </c>
      <c r="J66" s="5"/>
      <c r="K66" s="5"/>
      <c r="L66" s="5">
        <f>+C66*D66*E66*(2*F66+G66)</f>
        <v>6.335999999999999</v>
      </c>
      <c r="M66" s="5"/>
    </row>
    <row r="67" spans="1:15" ht="14.25">
      <c r="A67" s="58"/>
      <c r="B67" s="94"/>
      <c r="C67" s="115">
        <v>2</v>
      </c>
      <c r="D67" s="73">
        <v>2</v>
      </c>
      <c r="E67" s="13">
        <v>2.3</v>
      </c>
      <c r="F67" s="74">
        <v>0.06</v>
      </c>
      <c r="G67" s="4">
        <v>0.1</v>
      </c>
      <c r="H67" s="5"/>
      <c r="I67" s="5">
        <f>+C67*D67*E67*F67*G67</f>
        <v>0.0552</v>
      </c>
      <c r="J67" s="5"/>
      <c r="K67" s="5"/>
      <c r="L67" s="5">
        <f>+C67*D67*E67*(2*F67+G67)</f>
        <v>2.024</v>
      </c>
      <c r="M67" s="5"/>
      <c r="O67" s="75"/>
    </row>
    <row r="68" spans="1:13" ht="14.25">
      <c r="A68" s="58"/>
      <c r="B68" s="94"/>
      <c r="C68" s="115">
        <v>2</v>
      </c>
      <c r="D68" s="73">
        <v>4</v>
      </c>
      <c r="E68" s="13">
        <v>2</v>
      </c>
      <c r="F68" s="74">
        <v>0.06</v>
      </c>
      <c r="G68" s="4">
        <v>0.1</v>
      </c>
      <c r="H68" s="5"/>
      <c r="I68" s="5">
        <f>+C68*D68*E68*F68*G68</f>
        <v>0.096</v>
      </c>
      <c r="J68" s="5"/>
      <c r="K68" s="5"/>
      <c r="L68" s="5">
        <f>+C68*D68*E68*(2*F68+G68)</f>
        <v>3.52</v>
      </c>
      <c r="M68" s="5"/>
    </row>
    <row r="69" spans="1:13" ht="14.25">
      <c r="A69" s="58"/>
      <c r="B69" s="94"/>
      <c r="C69" s="115">
        <v>2</v>
      </c>
      <c r="D69" s="73">
        <v>2</v>
      </c>
      <c r="E69" s="13">
        <v>0.6</v>
      </c>
      <c r="F69" s="74">
        <v>0.06</v>
      </c>
      <c r="G69" s="4">
        <v>0.1</v>
      </c>
      <c r="H69" s="5"/>
      <c r="I69" s="5">
        <f>+C69*D69*E69*F69*G69</f>
        <v>0.0144</v>
      </c>
      <c r="J69" s="5"/>
      <c r="K69" s="5"/>
      <c r="L69" s="5">
        <f>+C69*D69*E69*(2*F69+G69)</f>
        <v>0.528</v>
      </c>
      <c r="M69" s="5"/>
    </row>
    <row r="70" spans="1:13" s="21" customFormat="1" ht="14.25">
      <c r="A70" s="58"/>
      <c r="B70" s="94" t="s">
        <v>159</v>
      </c>
      <c r="C70" s="115"/>
      <c r="D70" s="73"/>
      <c r="E70" s="13"/>
      <c r="F70" s="74"/>
      <c r="G70" s="4"/>
      <c r="H70" s="5"/>
      <c r="I70" s="5"/>
      <c r="J70" s="5"/>
      <c r="K70" s="5"/>
      <c r="L70" s="5"/>
      <c r="M70" s="5"/>
    </row>
    <row r="71" spans="1:13" s="21" customFormat="1" ht="14.25">
      <c r="A71" s="58"/>
      <c r="B71" s="94" t="s">
        <v>192</v>
      </c>
      <c r="C71" s="115">
        <v>2</v>
      </c>
      <c r="D71" s="73">
        <v>-3</v>
      </c>
      <c r="E71" s="13">
        <f>VLOOKUP(B71,'kl cua'!$B$6:$D$20,3,0)</f>
        <v>1.2</v>
      </c>
      <c r="F71" s="74">
        <v>0.2</v>
      </c>
      <c r="G71" s="4">
        <f>VLOOKUP(B71,'kl cua'!$B$6:$E$20,4,0)</f>
        <v>0.65</v>
      </c>
      <c r="H71" s="5"/>
      <c r="I71" s="5">
        <f>+C71*D71*E71*F71*G71</f>
        <v>-0.9359999999999999</v>
      </c>
      <c r="J71" s="5"/>
      <c r="K71" s="5" t="s">
        <v>193</v>
      </c>
      <c r="L71" s="5">
        <f>IF(OR(K71="n",K71="n+t"),C71*D71*(E71*G71-J71),0)</f>
        <v>-4.68</v>
      </c>
      <c r="M71" s="5">
        <f>IF(OR(K71="t",K71="n+t"),C71*D71*(E71*G71-J71),0)</f>
        <v>-4.68</v>
      </c>
    </row>
    <row r="72" spans="1:13" s="21" customFormat="1" ht="14.25">
      <c r="A72" s="58"/>
      <c r="B72" s="94" t="s">
        <v>174</v>
      </c>
      <c r="C72" s="115">
        <v>2</v>
      </c>
      <c r="D72" s="73">
        <v>-7</v>
      </c>
      <c r="E72" s="13">
        <f>VLOOKUP(B72,'kl cua'!$B$6:$D$20,3,0)</f>
        <v>1.2</v>
      </c>
      <c r="F72" s="74">
        <v>0.2</v>
      </c>
      <c r="G72" s="4">
        <f>VLOOKUP(B72,'kl cua'!$B$6:$E$20,4,0)</f>
        <v>1.8</v>
      </c>
      <c r="H72" s="5"/>
      <c r="I72" s="5">
        <f>+C72*D72*E72*F72*G72</f>
        <v>-6.048000000000001</v>
      </c>
      <c r="J72" s="5"/>
      <c r="K72" s="5" t="s">
        <v>193</v>
      </c>
      <c r="L72" s="5">
        <f>IF(OR(K72="n",K72="n+t"),C72*D72*(E72*G72-J72),0)</f>
        <v>-30.240000000000002</v>
      </c>
      <c r="M72" s="5">
        <f>IF(OR(K72="t",K72="n+t"),C72*D72*(E72*G72-J72),0)</f>
        <v>-30.240000000000002</v>
      </c>
    </row>
    <row r="73" spans="1:13" s="21" customFormat="1" ht="14.25">
      <c r="A73" s="58"/>
      <c r="B73" s="94" t="s">
        <v>175</v>
      </c>
      <c r="C73" s="115">
        <v>2</v>
      </c>
      <c r="D73" s="73">
        <v>-2</v>
      </c>
      <c r="E73" s="13">
        <f>VLOOKUP(B73,'kl cua'!$B$6:$D$20,3,0)</f>
        <v>0.6</v>
      </c>
      <c r="F73" s="74">
        <v>0.2</v>
      </c>
      <c r="G73" s="4">
        <f>VLOOKUP(B73,'kl cua'!$B$6:$E$20,4,0)</f>
        <v>1.8</v>
      </c>
      <c r="H73" s="5"/>
      <c r="I73" s="5">
        <f>+C73*D73*E73*F73*G73</f>
        <v>-0.864</v>
      </c>
      <c r="J73" s="5"/>
      <c r="K73" s="5" t="s">
        <v>193</v>
      </c>
      <c r="L73" s="5">
        <f>IF(OR(K73="n",K73="n+t"),C73*D73*(E73*G73-J73),0)</f>
        <v>-4.32</v>
      </c>
      <c r="M73" s="5">
        <f>IF(OR(K73="t",K73="n+t"),C73*D73*(E73*G73-J73),0)</f>
        <v>-4.32</v>
      </c>
    </row>
    <row r="74" spans="1:13" s="21" customFormat="1" ht="14.25">
      <c r="A74" s="58"/>
      <c r="B74" s="94" t="s">
        <v>50</v>
      </c>
      <c r="C74" s="115">
        <v>2</v>
      </c>
      <c r="D74" s="73">
        <v>-9</v>
      </c>
      <c r="E74" s="13">
        <f>VLOOKUP(B74,'kl cua'!$B$6:$D$20,3,0)</f>
        <v>1.2</v>
      </c>
      <c r="F74" s="74">
        <v>0.2</v>
      </c>
      <c r="G74" s="4">
        <f>VLOOKUP(B74,'kl cua'!$B$6:$E$20,4,0)</f>
        <v>1.8</v>
      </c>
      <c r="H74" s="5"/>
      <c r="I74" s="5">
        <f>+C74*D74*E74*F74*G74</f>
        <v>-7.775999999999999</v>
      </c>
      <c r="J74" s="5"/>
      <c r="K74" s="5" t="s">
        <v>193</v>
      </c>
      <c r="L74" s="5">
        <f>IF(OR(K74="n",K74="n+t"),C74*D74*(E74*G74-J74),0)</f>
        <v>-38.88</v>
      </c>
      <c r="M74" s="5">
        <f>IF(OR(K74="t",K74="n+t"),C74*D74*(E74*G74-J74),0)</f>
        <v>-38.88</v>
      </c>
    </row>
    <row r="75" spans="1:15" s="21" customFormat="1" ht="15">
      <c r="A75" s="14"/>
      <c r="B75" s="102" t="s">
        <v>207</v>
      </c>
      <c r="C75" s="120"/>
      <c r="D75" s="105"/>
      <c r="E75" s="8"/>
      <c r="F75" s="106"/>
      <c r="G75" s="7"/>
      <c r="H75" s="8"/>
      <c r="I75" s="8"/>
      <c r="J75" s="8"/>
      <c r="K75" s="8"/>
      <c r="L75" s="8"/>
      <c r="M75" s="8"/>
      <c r="O75" s="121"/>
    </row>
    <row r="76" spans="1:13" s="21" customFormat="1" ht="15">
      <c r="A76" s="14">
        <v>1</v>
      </c>
      <c r="B76" s="80" t="s">
        <v>20</v>
      </c>
      <c r="C76" s="115">
        <v>1</v>
      </c>
      <c r="D76" s="73">
        <v>2</v>
      </c>
      <c r="E76" s="13">
        <f>0.1+3.9+2*3.6+0.7</f>
        <v>11.899999999999999</v>
      </c>
      <c r="F76" s="74">
        <v>0.1</v>
      </c>
      <c r="G76" s="59">
        <f>3.6-0.3</f>
        <v>3.3000000000000003</v>
      </c>
      <c r="H76" s="13">
        <f aca="true" t="shared" si="11" ref="H76:H81">+C76*D76*E76*F76</f>
        <v>2.38</v>
      </c>
      <c r="I76" s="13">
        <f aca="true" t="shared" si="12" ref="I76:I81">+C76*D76*E76*F76*G76</f>
        <v>7.854</v>
      </c>
      <c r="J76" s="13"/>
      <c r="K76" s="13" t="s">
        <v>189</v>
      </c>
      <c r="L76" s="13">
        <f aca="true" t="shared" si="13" ref="L76:L82">IF(OR(K76="n",K76="n+t"),C76*D76*(E76*G76-J76),0)</f>
        <v>78.53999999999999</v>
      </c>
      <c r="M76" s="13">
        <f aca="true" t="shared" si="14" ref="M76:M82">IF(OR(K76="t",K76="n+t"),C76*D76*(E76*G76-J76),0)</f>
        <v>0</v>
      </c>
    </row>
    <row r="77" spans="1:13" ht="14.25">
      <c r="A77" s="58"/>
      <c r="B77" s="94" t="s">
        <v>190</v>
      </c>
      <c r="C77" s="115">
        <v>1</v>
      </c>
      <c r="D77" s="73">
        <v>2</v>
      </c>
      <c r="E77" s="13">
        <f>9*0.1+0.3</f>
        <v>1.2</v>
      </c>
      <c r="F77" s="74"/>
      <c r="G77" s="4">
        <f>+G76</f>
        <v>3.3000000000000003</v>
      </c>
      <c r="H77" s="5">
        <f t="shared" si="11"/>
        <v>0</v>
      </c>
      <c r="I77" s="5">
        <f t="shared" si="12"/>
        <v>0</v>
      </c>
      <c r="J77" s="5"/>
      <c r="K77" s="5" t="s">
        <v>189</v>
      </c>
      <c r="L77" s="5">
        <f t="shared" si="13"/>
        <v>7.92</v>
      </c>
      <c r="M77" s="5">
        <f t="shared" si="14"/>
        <v>0</v>
      </c>
    </row>
    <row r="78" spans="1:13" ht="14.25">
      <c r="A78" s="58"/>
      <c r="B78" s="116" t="s">
        <v>172</v>
      </c>
      <c r="C78" s="115">
        <v>1</v>
      </c>
      <c r="D78" s="73">
        <v>-2</v>
      </c>
      <c r="E78" s="13">
        <f>3*1.2+0.6</f>
        <v>4.199999999999999</v>
      </c>
      <c r="F78" s="74">
        <v>0.1</v>
      </c>
      <c r="G78" s="4">
        <f>+G77</f>
        <v>3.3000000000000003</v>
      </c>
      <c r="H78" s="5">
        <f t="shared" si="11"/>
        <v>-0.8399999999999999</v>
      </c>
      <c r="I78" s="5">
        <f t="shared" si="12"/>
        <v>-2.772</v>
      </c>
      <c r="J78" s="5"/>
      <c r="K78" s="5"/>
      <c r="L78" s="5">
        <f t="shared" si="13"/>
        <v>0</v>
      </c>
      <c r="M78" s="5">
        <f t="shared" si="14"/>
        <v>0</v>
      </c>
    </row>
    <row r="79" spans="1:13" ht="14.25">
      <c r="A79" s="58"/>
      <c r="B79" s="94"/>
      <c r="C79" s="115">
        <v>1</v>
      </c>
      <c r="D79" s="73">
        <v>2</v>
      </c>
      <c r="E79" s="13">
        <f>3.9+2*3.6+0.7-3.5*0.2</f>
        <v>11.1</v>
      </c>
      <c r="F79" s="74">
        <v>0.2</v>
      </c>
      <c r="G79" s="4">
        <f>3.6-0.3</f>
        <v>3.3000000000000003</v>
      </c>
      <c r="H79" s="5">
        <f t="shared" si="11"/>
        <v>4.44</v>
      </c>
      <c r="I79" s="5">
        <f t="shared" si="12"/>
        <v>14.652000000000003</v>
      </c>
      <c r="J79" s="5">
        <f>0.2*(3.6-0.12)</f>
        <v>0.6960000000000001</v>
      </c>
      <c r="K79" s="5" t="s">
        <v>191</v>
      </c>
      <c r="L79" s="5">
        <f t="shared" si="13"/>
        <v>0</v>
      </c>
      <c r="M79" s="5">
        <f t="shared" si="14"/>
        <v>71.86800000000001</v>
      </c>
    </row>
    <row r="80" spans="1:13" ht="15">
      <c r="A80" s="14">
        <v>2</v>
      </c>
      <c r="B80" s="80" t="s">
        <v>133</v>
      </c>
      <c r="C80" s="115">
        <v>1</v>
      </c>
      <c r="D80" s="73">
        <v>1</v>
      </c>
      <c r="E80" s="13">
        <v>2.8</v>
      </c>
      <c r="F80" s="74">
        <v>0.2</v>
      </c>
      <c r="G80" s="59">
        <f>3.6-0.3-0.8</f>
        <v>2.5</v>
      </c>
      <c r="H80" s="5">
        <f t="shared" si="11"/>
        <v>0.5599999999999999</v>
      </c>
      <c r="I80" s="5">
        <f t="shared" si="12"/>
        <v>1.4</v>
      </c>
      <c r="J80" s="5"/>
      <c r="K80" s="5" t="s">
        <v>193</v>
      </c>
      <c r="L80" s="5">
        <f t="shared" si="13"/>
        <v>7</v>
      </c>
      <c r="M80" s="5">
        <f t="shared" si="14"/>
        <v>7</v>
      </c>
    </row>
    <row r="81" spans="1:13" s="21" customFormat="1" ht="15">
      <c r="A81" s="14">
        <v>2</v>
      </c>
      <c r="B81" s="80" t="s">
        <v>22</v>
      </c>
      <c r="C81" s="115">
        <v>1</v>
      </c>
      <c r="D81" s="73">
        <v>2</v>
      </c>
      <c r="E81" s="13">
        <v>3.9</v>
      </c>
      <c r="F81" s="74">
        <v>0.2</v>
      </c>
      <c r="G81" s="59">
        <f>+G79</f>
        <v>3.3000000000000003</v>
      </c>
      <c r="H81" s="13">
        <f t="shared" si="11"/>
        <v>1.56</v>
      </c>
      <c r="I81" s="13">
        <f t="shared" si="12"/>
        <v>5.148000000000001</v>
      </c>
      <c r="J81" s="13"/>
      <c r="K81" s="13" t="s">
        <v>191</v>
      </c>
      <c r="L81" s="13">
        <f t="shared" si="13"/>
        <v>0</v>
      </c>
      <c r="M81" s="13">
        <f t="shared" si="14"/>
        <v>25.740000000000002</v>
      </c>
    </row>
    <row r="82" spans="1:13" s="21" customFormat="1" ht="14.25">
      <c r="A82" s="58"/>
      <c r="B82" s="94" t="s">
        <v>203</v>
      </c>
      <c r="C82" s="115">
        <v>1</v>
      </c>
      <c r="D82" s="73">
        <v>-2</v>
      </c>
      <c r="E82" s="13">
        <f>0.44+0.3+0.1</f>
        <v>0.84</v>
      </c>
      <c r="F82" s="74"/>
      <c r="G82" s="4">
        <f>3.6-0.12</f>
        <v>3.48</v>
      </c>
      <c r="H82" s="5"/>
      <c r="I82" s="5"/>
      <c r="J82" s="5"/>
      <c r="K82" s="5" t="s">
        <v>189</v>
      </c>
      <c r="L82" s="5">
        <f t="shared" si="13"/>
        <v>-5.8464</v>
      </c>
      <c r="M82" s="13">
        <f t="shared" si="14"/>
        <v>0</v>
      </c>
    </row>
    <row r="83" spans="1:13" ht="15">
      <c r="A83" s="14">
        <v>3</v>
      </c>
      <c r="B83" s="80" t="s">
        <v>23</v>
      </c>
      <c r="C83" s="115"/>
      <c r="D83" s="73"/>
      <c r="E83" s="13"/>
      <c r="F83" s="74"/>
      <c r="G83" s="59"/>
      <c r="H83" s="5"/>
      <c r="I83" s="5"/>
      <c r="J83" s="5"/>
      <c r="K83" s="5"/>
      <c r="L83" s="5"/>
      <c r="M83" s="5"/>
    </row>
    <row r="84" spans="1:13" ht="14.25">
      <c r="A84" s="58" t="s">
        <v>205</v>
      </c>
      <c r="B84" s="94" t="s">
        <v>196</v>
      </c>
      <c r="C84" s="115">
        <v>1</v>
      </c>
      <c r="D84" s="73">
        <v>2</v>
      </c>
      <c r="E84" s="13">
        <f>2*3.6-2*0.2</f>
        <v>6.8</v>
      </c>
      <c r="F84" s="74">
        <v>0.2</v>
      </c>
      <c r="G84" s="59">
        <f>3.6-0.3</f>
        <v>3.3000000000000003</v>
      </c>
      <c r="H84" s="5">
        <f>+C84*D84*E84*F84</f>
        <v>2.72</v>
      </c>
      <c r="I84" s="5">
        <f>+C84*D84*E84*F84*G84</f>
        <v>8.976</v>
      </c>
      <c r="J84" s="5"/>
      <c r="K84" s="5" t="s">
        <v>193</v>
      </c>
      <c r="L84" s="5">
        <f aca="true" t="shared" si="15" ref="L84:L91">IF(OR(K84="n",K84="n+t"),C84*D84*(E84*G84-J84),0)</f>
        <v>44.88</v>
      </c>
      <c r="M84" s="5">
        <f aca="true" t="shared" si="16" ref="M84:M91">IF(OR(K84="t",K84="n+t"),C84*D84*(E84*G84-J84),0)</f>
        <v>44.88</v>
      </c>
    </row>
    <row r="85" spans="1:13" ht="14.25">
      <c r="A85" s="58"/>
      <c r="B85" s="94" t="s">
        <v>203</v>
      </c>
      <c r="C85" s="115">
        <v>2</v>
      </c>
      <c r="D85" s="73">
        <v>-2</v>
      </c>
      <c r="E85" s="13">
        <f>3*0.44</f>
        <v>1.32</v>
      </c>
      <c r="F85" s="74"/>
      <c r="G85" s="4">
        <f>3.6-0.12</f>
        <v>3.48</v>
      </c>
      <c r="H85" s="5"/>
      <c r="I85" s="5"/>
      <c r="J85" s="5"/>
      <c r="K85" s="5" t="s">
        <v>189</v>
      </c>
      <c r="L85" s="5">
        <f t="shared" si="15"/>
        <v>-18.3744</v>
      </c>
      <c r="M85" s="5">
        <f t="shared" si="16"/>
        <v>0</v>
      </c>
    </row>
    <row r="86" spans="1:13" s="21" customFormat="1" ht="14.25">
      <c r="A86" s="58" t="s">
        <v>206</v>
      </c>
      <c r="B86" s="94" t="s">
        <v>135</v>
      </c>
      <c r="C86" s="115">
        <v>1</v>
      </c>
      <c r="D86" s="73">
        <v>1</v>
      </c>
      <c r="E86" s="13">
        <f>4.2-0.2</f>
        <v>4</v>
      </c>
      <c r="F86" s="74">
        <v>0.2</v>
      </c>
      <c r="G86" s="59">
        <f>0.9-0.4</f>
        <v>0.5</v>
      </c>
      <c r="H86" s="13">
        <f aca="true" t="shared" si="17" ref="H86:H91">+C86*D86*E86*F86</f>
        <v>0.8</v>
      </c>
      <c r="I86" s="13">
        <f aca="true" t="shared" si="18" ref="I86:I95">+C86*D86*E86*F86*G86</f>
        <v>0.4</v>
      </c>
      <c r="J86" s="13"/>
      <c r="K86" s="13" t="s">
        <v>193</v>
      </c>
      <c r="L86" s="13">
        <f t="shared" si="15"/>
        <v>2</v>
      </c>
      <c r="M86" s="13">
        <f t="shared" si="16"/>
        <v>2</v>
      </c>
    </row>
    <row r="87" spans="1:13" s="21" customFormat="1" ht="15">
      <c r="A87" s="14">
        <v>4</v>
      </c>
      <c r="B87" s="80" t="s">
        <v>24</v>
      </c>
      <c r="C87" s="115"/>
      <c r="D87" s="73"/>
      <c r="E87" s="13"/>
      <c r="F87" s="74"/>
      <c r="G87" s="59"/>
      <c r="H87" s="13">
        <f t="shared" si="17"/>
        <v>0</v>
      </c>
      <c r="I87" s="13">
        <f t="shared" si="18"/>
        <v>0</v>
      </c>
      <c r="J87" s="13"/>
      <c r="K87" s="13"/>
      <c r="L87" s="13">
        <f t="shared" si="15"/>
        <v>0</v>
      </c>
      <c r="M87" s="13">
        <f t="shared" si="16"/>
        <v>0</v>
      </c>
    </row>
    <row r="88" spans="1:13" ht="14.25">
      <c r="A88" s="58"/>
      <c r="B88" s="94" t="s">
        <v>199</v>
      </c>
      <c r="C88" s="115">
        <v>1</v>
      </c>
      <c r="D88" s="73">
        <v>2</v>
      </c>
      <c r="E88" s="13">
        <f>6.6-2*(0.45-0.1)</f>
        <v>5.8999999999999995</v>
      </c>
      <c r="F88" s="74">
        <v>0.2</v>
      </c>
      <c r="G88" s="4">
        <f>3.6-0.55</f>
        <v>3.05</v>
      </c>
      <c r="H88" s="5">
        <f t="shared" si="17"/>
        <v>2.36</v>
      </c>
      <c r="I88" s="5">
        <f t="shared" si="18"/>
        <v>7.1979999999999995</v>
      </c>
      <c r="J88" s="5"/>
      <c r="K88" s="5" t="s">
        <v>193</v>
      </c>
      <c r="L88" s="5">
        <f t="shared" si="15"/>
        <v>35.989999999999995</v>
      </c>
      <c r="M88" s="5">
        <f t="shared" si="16"/>
        <v>35.989999999999995</v>
      </c>
    </row>
    <row r="89" spans="1:15" ht="14.25">
      <c r="A89" s="58"/>
      <c r="B89" s="94" t="s">
        <v>200</v>
      </c>
      <c r="C89" s="115">
        <v>1</v>
      </c>
      <c r="D89" s="73">
        <v>2</v>
      </c>
      <c r="E89" s="13">
        <f>1.8-0.2</f>
        <v>1.6</v>
      </c>
      <c r="F89" s="74">
        <v>0.2</v>
      </c>
      <c r="G89" s="4">
        <f>3.6-0.3</f>
        <v>3.3000000000000003</v>
      </c>
      <c r="H89" s="5">
        <f t="shared" si="17"/>
        <v>0.6400000000000001</v>
      </c>
      <c r="I89" s="5">
        <f t="shared" si="18"/>
        <v>2.1120000000000005</v>
      </c>
      <c r="J89" s="5"/>
      <c r="K89" s="5" t="s">
        <v>193</v>
      </c>
      <c r="L89" s="5">
        <f t="shared" si="15"/>
        <v>10.560000000000002</v>
      </c>
      <c r="M89" s="5">
        <f t="shared" si="16"/>
        <v>10.560000000000002</v>
      </c>
      <c r="O89" s="75"/>
    </row>
    <row r="90" spans="1:13" ht="15">
      <c r="A90" s="14">
        <v>5</v>
      </c>
      <c r="B90" s="80" t="s">
        <v>201</v>
      </c>
      <c r="C90" s="115">
        <v>1</v>
      </c>
      <c r="D90" s="73">
        <v>2</v>
      </c>
      <c r="E90" s="13">
        <f>0.6-0.2</f>
        <v>0.39999999999999997</v>
      </c>
      <c r="F90" s="74">
        <v>0.2</v>
      </c>
      <c r="G90" s="4">
        <f>3.6-0.3</f>
        <v>3.3000000000000003</v>
      </c>
      <c r="H90" s="5">
        <f t="shared" si="17"/>
        <v>0.16</v>
      </c>
      <c r="I90" s="5">
        <f t="shared" si="18"/>
        <v>0.528</v>
      </c>
      <c r="J90" s="5"/>
      <c r="K90" s="5" t="s">
        <v>193</v>
      </c>
      <c r="L90" s="5">
        <f t="shared" si="15"/>
        <v>2.64</v>
      </c>
      <c r="M90" s="5">
        <f t="shared" si="16"/>
        <v>2.64</v>
      </c>
    </row>
    <row r="91" spans="1:13" ht="15">
      <c r="A91" s="14">
        <v>6</v>
      </c>
      <c r="B91" s="80" t="s">
        <v>25</v>
      </c>
      <c r="C91" s="115">
        <v>1</v>
      </c>
      <c r="D91" s="73">
        <v>2</v>
      </c>
      <c r="E91" s="13">
        <f>0.8+0.2-0.1</f>
        <v>0.9</v>
      </c>
      <c r="F91" s="74">
        <v>0.2</v>
      </c>
      <c r="G91" s="59">
        <f>3.6-0.12</f>
        <v>3.48</v>
      </c>
      <c r="H91" s="5">
        <f t="shared" si="17"/>
        <v>0.36000000000000004</v>
      </c>
      <c r="I91" s="5">
        <f t="shared" si="18"/>
        <v>1.2528000000000001</v>
      </c>
      <c r="J91" s="5"/>
      <c r="K91" s="5" t="s">
        <v>189</v>
      </c>
      <c r="L91" s="5">
        <f t="shared" si="15"/>
        <v>6.264</v>
      </c>
      <c r="M91" s="5">
        <f t="shared" si="16"/>
        <v>0</v>
      </c>
    </row>
    <row r="92" spans="1:13" ht="15">
      <c r="A92" s="14">
        <v>8</v>
      </c>
      <c r="B92" s="80" t="s">
        <v>28</v>
      </c>
      <c r="C92" s="115">
        <v>1</v>
      </c>
      <c r="D92" s="73">
        <v>12</v>
      </c>
      <c r="E92" s="13">
        <v>1.2</v>
      </c>
      <c r="F92" s="74">
        <v>0.06</v>
      </c>
      <c r="G92" s="4">
        <v>0.1</v>
      </c>
      <c r="H92" s="5"/>
      <c r="I92" s="5">
        <f t="shared" si="18"/>
        <v>0.08639999999999999</v>
      </c>
      <c r="J92" s="5"/>
      <c r="K92" s="5"/>
      <c r="L92" s="5">
        <f>+C92*D92*E92*(2*F92+G92)</f>
        <v>3.1679999999999997</v>
      </c>
      <c r="M92" s="5"/>
    </row>
    <row r="93" spans="1:15" ht="14.25">
      <c r="A93" s="58"/>
      <c r="B93" s="94"/>
      <c r="C93" s="115">
        <v>1</v>
      </c>
      <c r="D93" s="73">
        <v>2</v>
      </c>
      <c r="E93" s="13">
        <v>2.3</v>
      </c>
      <c r="F93" s="74">
        <v>0.06</v>
      </c>
      <c r="G93" s="4">
        <v>0.1</v>
      </c>
      <c r="H93" s="5"/>
      <c r="I93" s="5">
        <f t="shared" si="18"/>
        <v>0.0276</v>
      </c>
      <c r="J93" s="5"/>
      <c r="K93" s="5"/>
      <c r="L93" s="5">
        <f>+C93*D93*E93*(2*F93+G93)</f>
        <v>1.012</v>
      </c>
      <c r="M93" s="5"/>
      <c r="O93" s="75"/>
    </row>
    <row r="94" spans="1:13" ht="14.25">
      <c r="A94" s="58"/>
      <c r="B94" s="94"/>
      <c r="C94" s="115">
        <v>1</v>
      </c>
      <c r="D94" s="73">
        <v>4</v>
      </c>
      <c r="E94" s="13">
        <v>2</v>
      </c>
      <c r="F94" s="74">
        <v>0.06</v>
      </c>
      <c r="G94" s="4">
        <v>0.1</v>
      </c>
      <c r="H94" s="5"/>
      <c r="I94" s="5">
        <f t="shared" si="18"/>
        <v>0.048</v>
      </c>
      <c r="J94" s="5"/>
      <c r="K94" s="5"/>
      <c r="L94" s="5">
        <f>+C94*D94*E94*(2*F94+G94)</f>
        <v>1.76</v>
      </c>
      <c r="M94" s="5"/>
    </row>
    <row r="95" spans="1:13" ht="14.25">
      <c r="A95" s="58"/>
      <c r="B95" s="94"/>
      <c r="C95" s="115">
        <v>1</v>
      </c>
      <c r="D95" s="73">
        <v>2</v>
      </c>
      <c r="E95" s="13">
        <v>0.6</v>
      </c>
      <c r="F95" s="74">
        <v>0.06</v>
      </c>
      <c r="G95" s="4">
        <v>0.1</v>
      </c>
      <c r="H95" s="5"/>
      <c r="I95" s="5">
        <f t="shared" si="18"/>
        <v>0.0072</v>
      </c>
      <c r="J95" s="5"/>
      <c r="K95" s="5"/>
      <c r="L95" s="5">
        <f>+C95*D95*E95*(2*F95+G95)</f>
        <v>0.264</v>
      </c>
      <c r="M95" s="5"/>
    </row>
    <row r="96" spans="1:13" s="21" customFormat="1" ht="14.25">
      <c r="A96" s="58"/>
      <c r="B96" s="94" t="s">
        <v>159</v>
      </c>
      <c r="C96" s="115"/>
      <c r="D96" s="73"/>
      <c r="E96" s="13"/>
      <c r="F96" s="74"/>
      <c r="G96" s="4"/>
      <c r="H96" s="5"/>
      <c r="I96" s="5"/>
      <c r="J96" s="5"/>
      <c r="K96" s="5"/>
      <c r="L96" s="5"/>
      <c r="M96" s="5"/>
    </row>
    <row r="97" spans="1:13" s="21" customFormat="1" ht="14.25">
      <c r="A97" s="58"/>
      <c r="B97" s="94" t="s">
        <v>192</v>
      </c>
      <c r="C97" s="115">
        <v>1</v>
      </c>
      <c r="D97" s="73">
        <v>-3</v>
      </c>
      <c r="E97" s="13">
        <f>VLOOKUP(B97,'kl cua'!$B$6:$D$20,3,0)</f>
        <v>1.2</v>
      </c>
      <c r="F97" s="74">
        <v>0.2</v>
      </c>
      <c r="G97" s="4">
        <f>VLOOKUP(B97,'kl cua'!$B$6:$E$20,4,0)</f>
        <v>0.65</v>
      </c>
      <c r="H97" s="5"/>
      <c r="I97" s="5">
        <f>+C97*D97*E97*F97*G97</f>
        <v>-0.46799999999999997</v>
      </c>
      <c r="J97" s="5"/>
      <c r="K97" s="5" t="s">
        <v>193</v>
      </c>
      <c r="L97" s="5">
        <f>IF(OR(K97="n",K97="n+t"),C97*D97*(E97*G97-J97),0)</f>
        <v>-2.34</v>
      </c>
      <c r="M97" s="5">
        <f>IF(OR(K97="t",K97="n+t"),C97*D97*(E97*G97-J97),0)</f>
        <v>-2.34</v>
      </c>
    </row>
    <row r="98" spans="1:13" s="21" customFormat="1" ht="14.25">
      <c r="A98" s="58"/>
      <c r="B98" s="94" t="s">
        <v>174</v>
      </c>
      <c r="C98" s="115">
        <v>1</v>
      </c>
      <c r="D98" s="73">
        <v>-7</v>
      </c>
      <c r="E98" s="13">
        <f>VLOOKUP(B98,'kl cua'!$B$6:$D$20,3,0)</f>
        <v>1.2</v>
      </c>
      <c r="F98" s="74">
        <v>0.2</v>
      </c>
      <c r="G98" s="4">
        <f>VLOOKUP(B98,'kl cua'!$B$6:$E$20,4,0)</f>
        <v>1.8</v>
      </c>
      <c r="H98" s="5"/>
      <c r="I98" s="5">
        <f>+C98*D98*E98*F98*G98</f>
        <v>-3.0240000000000005</v>
      </c>
      <c r="J98" s="5"/>
      <c r="K98" s="5" t="s">
        <v>193</v>
      </c>
      <c r="L98" s="5">
        <f>IF(OR(K98="n",K98="n+t"),C98*D98*(E98*G98-J98),0)</f>
        <v>-15.120000000000001</v>
      </c>
      <c r="M98" s="5">
        <f>IF(OR(K98="t",K98="n+t"),C98*D98*(E98*G98-J98),0)</f>
        <v>-15.120000000000001</v>
      </c>
    </row>
    <row r="99" spans="1:13" s="21" customFormat="1" ht="14.25">
      <c r="A99" s="58"/>
      <c r="B99" s="94" t="s">
        <v>175</v>
      </c>
      <c r="C99" s="115">
        <v>1</v>
      </c>
      <c r="D99" s="73">
        <v>-2</v>
      </c>
      <c r="E99" s="13">
        <f>VLOOKUP(B99,'kl cua'!$B$6:$D$20,3,0)</f>
        <v>0.6</v>
      </c>
      <c r="F99" s="74">
        <v>0.2</v>
      </c>
      <c r="G99" s="4">
        <f>VLOOKUP(B99,'kl cua'!$B$6:$E$20,4,0)</f>
        <v>1.8</v>
      </c>
      <c r="H99" s="5"/>
      <c r="I99" s="5">
        <f>+C99*D99*E99*F99*G99</f>
        <v>-0.432</v>
      </c>
      <c r="J99" s="5"/>
      <c r="K99" s="5" t="s">
        <v>193</v>
      </c>
      <c r="L99" s="5">
        <f>IF(OR(K99="n",K99="n+t"),C99*D99*(E99*G99-J99),0)</f>
        <v>-2.16</v>
      </c>
      <c r="M99" s="5">
        <f>IF(OR(K99="t",K99="n+t"),C99*D99*(E99*G99-J99),0)</f>
        <v>-2.16</v>
      </c>
    </row>
    <row r="100" spans="1:13" s="21" customFormat="1" ht="14.25">
      <c r="A100" s="58"/>
      <c r="B100" s="94" t="s">
        <v>50</v>
      </c>
      <c r="C100" s="115">
        <v>1</v>
      </c>
      <c r="D100" s="73">
        <v>-9</v>
      </c>
      <c r="E100" s="13">
        <f>VLOOKUP(B100,'kl cua'!$B$6:$D$20,3,0)</f>
        <v>1.2</v>
      </c>
      <c r="F100" s="74">
        <v>0.2</v>
      </c>
      <c r="G100" s="4">
        <f>VLOOKUP(B100,'kl cua'!$B$6:$E$20,4,0)</f>
        <v>1.8</v>
      </c>
      <c r="H100" s="5"/>
      <c r="I100" s="5">
        <f>+C100*D100*E100*F100*G100</f>
        <v>-3.8879999999999995</v>
      </c>
      <c r="J100" s="5"/>
      <c r="K100" s="5" t="s">
        <v>193</v>
      </c>
      <c r="L100" s="5">
        <f>IF(OR(K100="n",K100="n+t"),C100*D100*(E100*G100-J100),0)</f>
        <v>-19.44</v>
      </c>
      <c r="M100" s="5">
        <f>IF(OR(K100="t",K100="n+t"),C100*D100*(E100*G100-J100),0)</f>
        <v>-19.44</v>
      </c>
    </row>
    <row r="101" spans="1:13" s="21" customFormat="1" ht="14.25">
      <c r="A101" s="58"/>
      <c r="B101" s="94"/>
      <c r="C101" s="115"/>
      <c r="D101" s="73"/>
      <c r="E101" s="13"/>
      <c r="F101" s="74"/>
      <c r="G101" s="4"/>
      <c r="H101" s="5"/>
      <c r="I101" s="5"/>
      <c r="J101" s="5"/>
      <c r="K101" s="5"/>
      <c r="L101" s="5"/>
      <c r="M101" s="5"/>
    </row>
    <row r="102" spans="1:15" s="21" customFormat="1" ht="15">
      <c r="A102" s="110"/>
      <c r="B102" s="102" t="s">
        <v>176</v>
      </c>
      <c r="C102" s="111"/>
      <c r="D102" s="112"/>
      <c r="E102" s="9"/>
      <c r="F102" s="113"/>
      <c r="G102" s="114"/>
      <c r="H102" s="9"/>
      <c r="I102" s="8">
        <f>SUM(I103:I115)</f>
        <v>5.509500000000006</v>
      </c>
      <c r="J102" s="9"/>
      <c r="K102" s="9"/>
      <c r="L102" s="9"/>
      <c r="M102" s="9"/>
      <c r="O102" s="21">
        <f>+I102/0.2</f>
        <v>27.54750000000003</v>
      </c>
    </row>
    <row r="103" spans="1:15" s="21" customFormat="1" ht="15">
      <c r="A103" s="58"/>
      <c r="B103" s="102" t="s">
        <v>69</v>
      </c>
      <c r="C103" s="111"/>
      <c r="D103" s="112"/>
      <c r="E103" s="9"/>
      <c r="F103" s="113"/>
      <c r="G103" s="114"/>
      <c r="H103" s="9"/>
      <c r="I103" s="9"/>
      <c r="J103" s="9"/>
      <c r="K103" s="9"/>
      <c r="L103" s="9"/>
      <c r="M103" s="8">
        <f>SUM(M104:M107)</f>
        <v>83.80000000000003</v>
      </c>
      <c r="O103" s="21">
        <f>+O102*2</f>
        <v>55.09500000000006</v>
      </c>
    </row>
    <row r="104" spans="1:13" s="21" customFormat="1" ht="14.25">
      <c r="A104" s="58">
        <v>1</v>
      </c>
      <c r="B104" s="94" t="s">
        <v>21</v>
      </c>
      <c r="C104" s="115">
        <v>1</v>
      </c>
      <c r="D104" s="73">
        <v>1</v>
      </c>
      <c r="E104" s="13">
        <f>26.4-7*0.2-(1.25-0.1)-4</f>
        <v>19.85</v>
      </c>
      <c r="F104" s="74">
        <v>0.1</v>
      </c>
      <c r="G104" s="59">
        <f>3.9-0.3</f>
        <v>3.6</v>
      </c>
      <c r="H104" s="5">
        <f>+C104*D104*E104*F104</f>
        <v>1.9850000000000003</v>
      </c>
      <c r="I104" s="5">
        <f>+C104*D104*E104*F104*G104</f>
        <v>7.146000000000002</v>
      </c>
      <c r="J104" s="5">
        <f>0.1*(3.6-0.4)</f>
        <v>0.32000000000000006</v>
      </c>
      <c r="K104" s="5"/>
      <c r="L104" s="5"/>
      <c r="M104" s="5">
        <f>2*C104*D104*E104*G104-J104</f>
        <v>142.60000000000002</v>
      </c>
    </row>
    <row r="105" spans="1:13" s="21" customFormat="1" ht="14.25">
      <c r="A105" s="58"/>
      <c r="B105" s="94" t="s">
        <v>159</v>
      </c>
      <c r="C105" s="115"/>
      <c r="D105" s="73"/>
      <c r="E105" s="13"/>
      <c r="F105" s="74"/>
      <c r="G105" s="59"/>
      <c r="H105" s="5">
        <f>+C105*D105*E105*F105</f>
        <v>0</v>
      </c>
      <c r="I105" s="5">
        <f>+C105*D105*E105*F105*G105</f>
        <v>0</v>
      </c>
      <c r="J105" s="5"/>
      <c r="K105" s="5"/>
      <c r="L105" s="5"/>
      <c r="M105" s="5">
        <f>2*C105*D105*E105*G105-J105</f>
        <v>0</v>
      </c>
    </row>
    <row r="106" spans="1:13" s="21" customFormat="1" ht="14.25">
      <c r="A106" s="58"/>
      <c r="B106" s="94" t="s">
        <v>195</v>
      </c>
      <c r="C106" s="115">
        <v>1</v>
      </c>
      <c r="D106" s="73">
        <v>-5</v>
      </c>
      <c r="E106" s="13">
        <f>VLOOKUP(B106,'kl cua'!$B$6:$D$20,3,0)</f>
        <v>1.2</v>
      </c>
      <c r="F106" s="74">
        <v>0.2</v>
      </c>
      <c r="G106" s="4">
        <f>VLOOKUP(B106,'kl cua'!$B$6:$E$20,4,0)</f>
        <v>2</v>
      </c>
      <c r="H106" s="5"/>
      <c r="I106" s="5">
        <f>+C106*D106*E106*F106*G106</f>
        <v>-2.4000000000000004</v>
      </c>
      <c r="J106" s="5"/>
      <c r="K106" s="5"/>
      <c r="L106" s="5"/>
      <c r="M106" s="5">
        <f>2*C106*D106*E106*G106-J106</f>
        <v>-24</v>
      </c>
    </row>
    <row r="107" spans="1:13" s="21" customFormat="1" ht="14.25">
      <c r="A107" s="58"/>
      <c r="B107" s="94" t="s">
        <v>112</v>
      </c>
      <c r="C107" s="115">
        <v>1</v>
      </c>
      <c r="D107" s="73">
        <v>-5</v>
      </c>
      <c r="E107" s="13">
        <f>VLOOKUP(B107,'kl cua'!$B$6:$D$20,3,0)</f>
        <v>1.2</v>
      </c>
      <c r="F107" s="74">
        <v>0.2</v>
      </c>
      <c r="G107" s="4">
        <f>VLOOKUP(B107,'kl cua'!$B$6:$E$20,4,0)</f>
        <v>2.9</v>
      </c>
      <c r="H107" s="5"/>
      <c r="I107" s="5">
        <f>+C107*D107*E107*F107*G107</f>
        <v>-3.4800000000000004</v>
      </c>
      <c r="J107" s="5"/>
      <c r="K107" s="5"/>
      <c r="L107" s="5"/>
      <c r="M107" s="5">
        <f>2*C107*D107*E107*G107-J107</f>
        <v>-34.8</v>
      </c>
    </row>
    <row r="108" spans="1:13" s="16" customFormat="1" ht="15">
      <c r="A108" s="14"/>
      <c r="B108" s="102" t="s">
        <v>211</v>
      </c>
      <c r="C108" s="120"/>
      <c r="D108" s="105"/>
      <c r="E108" s="8"/>
      <c r="F108" s="106"/>
      <c r="G108" s="7"/>
      <c r="H108" s="8"/>
      <c r="I108" s="8"/>
      <c r="J108" s="8"/>
      <c r="K108" s="8"/>
      <c r="L108" s="8"/>
      <c r="M108" s="8">
        <f>SUM(M109:M115)*0.9</f>
        <v>221.8950000000001</v>
      </c>
    </row>
    <row r="109" spans="1:13" s="21" customFormat="1" ht="15">
      <c r="A109" s="58"/>
      <c r="B109" s="102" t="s">
        <v>227</v>
      </c>
      <c r="C109" s="111"/>
      <c r="D109" s="112"/>
      <c r="E109" s="9"/>
      <c r="F109" s="113"/>
      <c r="G109" s="114"/>
      <c r="H109" s="9"/>
      <c r="I109" s="9"/>
      <c r="J109" s="9"/>
      <c r="K109" s="9"/>
      <c r="L109" s="9"/>
      <c r="M109" s="8"/>
    </row>
    <row r="110" spans="1:13" s="21" customFormat="1" ht="14.25">
      <c r="A110" s="58">
        <v>1</v>
      </c>
      <c r="B110" s="94" t="s">
        <v>21</v>
      </c>
      <c r="C110" s="115">
        <v>3</v>
      </c>
      <c r="D110" s="73">
        <v>1</v>
      </c>
      <c r="E110" s="13">
        <f>26.4-7*0.2-1.15-4</f>
        <v>19.85</v>
      </c>
      <c r="F110" s="74">
        <v>0.1</v>
      </c>
      <c r="G110" s="59">
        <f>3.6-0.3</f>
        <v>3.3000000000000003</v>
      </c>
      <c r="H110" s="5">
        <f>+C110*D110*E110*F110</f>
        <v>5.955000000000001</v>
      </c>
      <c r="I110" s="5">
        <f aca="true" t="shared" si="19" ref="I110:I115">+C110*D110*E110*F110*G110</f>
        <v>19.651500000000006</v>
      </c>
      <c r="J110" s="5">
        <f>0.1*(3.6-0.4)</f>
        <v>0.32000000000000006</v>
      </c>
      <c r="K110" s="5"/>
      <c r="L110" s="5"/>
      <c r="M110" s="5">
        <f aca="true" t="shared" si="20" ref="M110:M115">2*C110*D110*E110*G110-J110</f>
        <v>392.7100000000001</v>
      </c>
    </row>
    <row r="111" spans="1:13" s="21" customFormat="1" ht="14.25">
      <c r="A111" s="58"/>
      <c r="B111" s="94" t="s">
        <v>159</v>
      </c>
      <c r="C111" s="115">
        <v>3</v>
      </c>
      <c r="D111" s="73"/>
      <c r="E111" s="13"/>
      <c r="F111" s="74"/>
      <c r="G111" s="59"/>
      <c r="H111" s="5">
        <f>+C111*D111*E111*F111</f>
        <v>0</v>
      </c>
      <c r="I111" s="5">
        <f t="shared" si="19"/>
        <v>0</v>
      </c>
      <c r="J111" s="5"/>
      <c r="K111" s="5"/>
      <c r="L111" s="5"/>
      <c r="M111" s="5">
        <f t="shared" si="20"/>
        <v>0</v>
      </c>
    </row>
    <row r="112" spans="1:13" s="21" customFormat="1" ht="14.25">
      <c r="A112" s="58"/>
      <c r="B112" s="94" t="s">
        <v>174</v>
      </c>
      <c r="C112" s="115">
        <v>3</v>
      </c>
      <c r="D112" s="73">
        <v>-5</v>
      </c>
      <c r="E112" s="13">
        <f>VLOOKUP(B112,'kl cua'!$B$6:$D$20,3,0)</f>
        <v>1.2</v>
      </c>
      <c r="F112" s="74">
        <v>0.2</v>
      </c>
      <c r="G112" s="4">
        <f>VLOOKUP(B112,'kl cua'!$B$6:$E$20,4,0)</f>
        <v>1.8</v>
      </c>
      <c r="H112" s="5"/>
      <c r="I112" s="5">
        <f t="shared" si="19"/>
        <v>-6.48</v>
      </c>
      <c r="J112" s="5"/>
      <c r="K112" s="5"/>
      <c r="L112" s="5"/>
      <c r="M112" s="5">
        <f t="shared" si="20"/>
        <v>-64.8</v>
      </c>
    </row>
    <row r="113" spans="1:13" s="21" customFormat="1" ht="14.25">
      <c r="A113" s="58"/>
      <c r="B113" s="94" t="s">
        <v>162</v>
      </c>
      <c r="C113" s="115">
        <v>3</v>
      </c>
      <c r="D113" s="73">
        <v>-5</v>
      </c>
      <c r="E113" s="13">
        <f>VLOOKUP(B113,'kl cua'!$B$6:$D$20,3,0)</f>
        <v>1.2</v>
      </c>
      <c r="F113" s="74">
        <v>0.2</v>
      </c>
      <c r="G113" s="4">
        <f>VLOOKUP(B113,'kl cua'!$B$6:$E$20,4,0)</f>
        <v>2.7</v>
      </c>
      <c r="H113" s="5"/>
      <c r="I113" s="5">
        <f t="shared" si="19"/>
        <v>-9.72</v>
      </c>
      <c r="J113" s="5"/>
      <c r="K113" s="5"/>
      <c r="L113" s="5"/>
      <c r="M113" s="5">
        <f t="shared" si="20"/>
        <v>-97.2</v>
      </c>
    </row>
    <row r="114" spans="1:13" s="21" customFormat="1" ht="14.25">
      <c r="A114" s="58">
        <v>4</v>
      </c>
      <c r="B114" s="94" t="s">
        <v>209</v>
      </c>
      <c r="C114" s="115">
        <v>3</v>
      </c>
      <c r="D114" s="73"/>
      <c r="E114" s="13"/>
      <c r="F114" s="74"/>
      <c r="G114" s="59"/>
      <c r="H114" s="5">
        <f>+C114*D114*E114*F114</f>
        <v>0</v>
      </c>
      <c r="I114" s="5">
        <f t="shared" si="19"/>
        <v>0</v>
      </c>
      <c r="J114" s="5"/>
      <c r="K114" s="5"/>
      <c r="L114" s="5"/>
      <c r="M114" s="5">
        <f t="shared" si="20"/>
        <v>0</v>
      </c>
    </row>
    <row r="115" spans="1:13" s="21" customFormat="1" ht="14.25">
      <c r="A115" s="58"/>
      <c r="B115" s="94" t="s">
        <v>210</v>
      </c>
      <c r="C115" s="115">
        <v>3</v>
      </c>
      <c r="D115" s="73">
        <v>2</v>
      </c>
      <c r="E115" s="13">
        <f>0.7-0.1-0.2</f>
        <v>0.39999999999999997</v>
      </c>
      <c r="F115" s="74">
        <v>0.1</v>
      </c>
      <c r="G115" s="59">
        <f>3.6-0.3</f>
        <v>3.3000000000000003</v>
      </c>
      <c r="H115" s="5">
        <f>+C115*D115*E115*F115</f>
        <v>0.24</v>
      </c>
      <c r="I115" s="5">
        <f t="shared" si="19"/>
        <v>0.792</v>
      </c>
      <c r="J115" s="5"/>
      <c r="K115" s="5"/>
      <c r="L115" s="5"/>
      <c r="M115" s="5">
        <f t="shared" si="20"/>
        <v>15.84</v>
      </c>
    </row>
    <row r="116" spans="1:13" s="21" customFormat="1" ht="15">
      <c r="A116" s="58"/>
      <c r="B116" s="102" t="s">
        <v>177</v>
      </c>
      <c r="C116" s="111"/>
      <c r="D116" s="112"/>
      <c r="E116" s="9"/>
      <c r="F116" s="113"/>
      <c r="G116" s="114"/>
      <c r="H116" s="9"/>
      <c r="I116" s="8">
        <f>SUM(I117:I137)</f>
        <v>65.72719999999998</v>
      </c>
      <c r="J116" s="9"/>
      <c r="K116" s="9"/>
      <c r="L116" s="9"/>
      <c r="M116" s="9">
        <f>2*C116*D116*E116*G116-J116</f>
        <v>0</v>
      </c>
    </row>
    <row r="117" spans="1:13" s="21" customFormat="1" ht="15">
      <c r="A117" s="58"/>
      <c r="B117" s="102" t="s">
        <v>69</v>
      </c>
      <c r="C117" s="111"/>
      <c r="D117" s="112"/>
      <c r="E117" s="9"/>
      <c r="F117" s="113"/>
      <c r="G117" s="114"/>
      <c r="H117" s="9"/>
      <c r="I117" s="9"/>
      <c r="J117" s="9"/>
      <c r="K117" s="9"/>
      <c r="L117" s="9"/>
      <c r="M117" s="8">
        <f>SUM(M118:M127)*0.9</f>
        <v>305.7083999999999</v>
      </c>
    </row>
    <row r="118" spans="1:13" s="21" customFormat="1" ht="14.25">
      <c r="A118" s="58">
        <v>1</v>
      </c>
      <c r="B118" s="94" t="s">
        <v>178</v>
      </c>
      <c r="C118" s="115">
        <v>1</v>
      </c>
      <c r="D118" s="73">
        <v>1</v>
      </c>
      <c r="E118" s="13">
        <f>3.9-0.2</f>
        <v>3.6999999999999997</v>
      </c>
      <c r="F118" s="74">
        <v>0.1</v>
      </c>
      <c r="G118" s="59">
        <f>3.9-0.3</f>
        <v>3.6</v>
      </c>
      <c r="H118" s="5">
        <f aca="true" t="shared" si="21" ref="H118:H124">+C118*D118*E118*F118</f>
        <v>0.37</v>
      </c>
      <c r="I118" s="5">
        <f aca="true" t="shared" si="22" ref="I118:I127">+C118*D118*E118*F118*G118</f>
        <v>1.332</v>
      </c>
      <c r="J118" s="5"/>
      <c r="K118" s="5"/>
      <c r="L118" s="5"/>
      <c r="M118" s="5">
        <f aca="true" t="shared" si="23" ref="M118:M127">2*C118*D118*E118*G118-J118</f>
        <v>26.639999999999997</v>
      </c>
    </row>
    <row r="119" spans="1:13" s="21" customFormat="1" ht="15">
      <c r="A119" s="58"/>
      <c r="B119" s="80"/>
      <c r="C119" s="115">
        <v>1</v>
      </c>
      <c r="D119" s="73">
        <v>1</v>
      </c>
      <c r="E119" s="13">
        <f>3.4-0.1</f>
        <v>3.3</v>
      </c>
      <c r="F119" s="74">
        <v>0.1</v>
      </c>
      <c r="G119" s="59">
        <f>+G118</f>
        <v>3.6</v>
      </c>
      <c r="H119" s="5">
        <f t="shared" si="21"/>
        <v>0.33</v>
      </c>
      <c r="I119" s="5">
        <f t="shared" si="22"/>
        <v>1.1880000000000002</v>
      </c>
      <c r="J119" s="5"/>
      <c r="K119" s="5"/>
      <c r="L119" s="5"/>
      <c r="M119" s="5">
        <f t="shared" si="23"/>
        <v>23.759999999999998</v>
      </c>
    </row>
    <row r="120" spans="1:13" s="21" customFormat="1" ht="14.25">
      <c r="A120" s="58">
        <v>2</v>
      </c>
      <c r="B120" s="94" t="s">
        <v>212</v>
      </c>
      <c r="C120" s="115"/>
      <c r="D120" s="73"/>
      <c r="E120" s="13"/>
      <c r="F120" s="74"/>
      <c r="G120" s="59"/>
      <c r="H120" s="5">
        <f t="shared" si="21"/>
        <v>0</v>
      </c>
      <c r="I120" s="5">
        <f t="shared" si="22"/>
        <v>0</v>
      </c>
      <c r="J120" s="5"/>
      <c r="K120" s="5"/>
      <c r="L120" s="5"/>
      <c r="M120" s="5">
        <f t="shared" si="23"/>
        <v>0</v>
      </c>
    </row>
    <row r="121" spans="1:13" s="21" customFormat="1" ht="14.25">
      <c r="A121" s="58"/>
      <c r="B121" s="94" t="s">
        <v>213</v>
      </c>
      <c r="C121" s="115">
        <v>1</v>
      </c>
      <c r="D121" s="73">
        <v>1</v>
      </c>
      <c r="E121" s="13">
        <f>4.2-0.2</f>
        <v>4</v>
      </c>
      <c r="F121" s="74">
        <v>0.1</v>
      </c>
      <c r="G121" s="59">
        <f>1.8-0.3</f>
        <v>1.5</v>
      </c>
      <c r="H121" s="5">
        <f t="shared" si="21"/>
        <v>0.4</v>
      </c>
      <c r="I121" s="5">
        <f t="shared" si="22"/>
        <v>0.6000000000000001</v>
      </c>
      <c r="J121" s="5"/>
      <c r="K121" s="5"/>
      <c r="L121" s="5"/>
      <c r="M121" s="5">
        <f t="shared" si="23"/>
        <v>12</v>
      </c>
    </row>
    <row r="122" spans="1:13" s="21" customFormat="1" ht="14.25">
      <c r="A122" s="58"/>
      <c r="B122" s="94" t="s">
        <v>214</v>
      </c>
      <c r="C122" s="115">
        <v>1</v>
      </c>
      <c r="D122" s="73">
        <v>1</v>
      </c>
      <c r="E122" s="13">
        <f>0.5*(3.6-0.2)</f>
        <v>1.7</v>
      </c>
      <c r="F122" s="74">
        <v>0.1</v>
      </c>
      <c r="G122" s="59">
        <f>+G121</f>
        <v>1.5</v>
      </c>
      <c r="H122" s="5">
        <f t="shared" si="21"/>
        <v>0.17</v>
      </c>
      <c r="I122" s="5">
        <f t="shared" si="22"/>
        <v>0.255</v>
      </c>
      <c r="J122" s="5"/>
      <c r="K122" s="5"/>
      <c r="L122" s="5"/>
      <c r="M122" s="5">
        <f t="shared" si="23"/>
        <v>5.1</v>
      </c>
    </row>
    <row r="123" spans="1:13" s="21" customFormat="1" ht="14.25">
      <c r="A123" s="58">
        <v>3</v>
      </c>
      <c r="B123" s="94" t="s">
        <v>179</v>
      </c>
      <c r="C123" s="115">
        <v>1</v>
      </c>
      <c r="D123" s="73">
        <v>6</v>
      </c>
      <c r="E123" s="13">
        <f>6.6-0.2</f>
        <v>6.3999999999999995</v>
      </c>
      <c r="F123" s="74">
        <v>0.1</v>
      </c>
      <c r="G123" s="59">
        <f>3.9-0.55</f>
        <v>3.3499999999999996</v>
      </c>
      <c r="H123" s="5">
        <f t="shared" si="21"/>
        <v>3.84</v>
      </c>
      <c r="I123" s="5">
        <f>+C123*D123*E123*F123*G123</f>
        <v>12.863999999999999</v>
      </c>
      <c r="J123" s="5"/>
      <c r="K123" s="5"/>
      <c r="L123" s="5"/>
      <c r="M123" s="5">
        <f>2*C123*D123*E123*G123-J123</f>
        <v>257.28</v>
      </c>
    </row>
    <row r="124" spans="1:13" s="21" customFormat="1" ht="14.25">
      <c r="A124" s="58"/>
      <c r="B124" s="94" t="s">
        <v>159</v>
      </c>
      <c r="C124" s="115"/>
      <c r="D124" s="73"/>
      <c r="E124" s="13"/>
      <c r="F124" s="74"/>
      <c r="G124" s="59"/>
      <c r="H124" s="5">
        <f t="shared" si="21"/>
        <v>0</v>
      </c>
      <c r="I124" s="5">
        <f t="shared" si="22"/>
        <v>0</v>
      </c>
      <c r="J124" s="5"/>
      <c r="K124" s="5"/>
      <c r="L124" s="5"/>
      <c r="M124" s="5">
        <f t="shared" si="23"/>
        <v>0</v>
      </c>
    </row>
    <row r="125" spans="1:13" s="21" customFormat="1" ht="14.25">
      <c r="A125" s="58"/>
      <c r="B125" s="94" t="s">
        <v>208</v>
      </c>
      <c r="C125" s="115">
        <v>1</v>
      </c>
      <c r="D125" s="73">
        <v>2</v>
      </c>
      <c r="E125" s="13">
        <f>VLOOKUP(B125,'kl cua'!$B$6:$D$20,3,0)</f>
        <v>0.9</v>
      </c>
      <c r="F125" s="74">
        <v>0.1</v>
      </c>
      <c r="G125" s="4">
        <f>VLOOKUP(B125,'kl cua'!$B$6:$E$20,4,0)</f>
        <v>2.4</v>
      </c>
      <c r="H125" s="5"/>
      <c r="I125" s="5">
        <f t="shared" si="22"/>
        <v>0.43200000000000005</v>
      </c>
      <c r="J125" s="5"/>
      <c r="K125" s="5"/>
      <c r="L125" s="5"/>
      <c r="M125" s="5">
        <f t="shared" si="23"/>
        <v>8.64</v>
      </c>
    </row>
    <row r="126" spans="1:13" s="21" customFormat="1" ht="14.25">
      <c r="A126" s="58"/>
      <c r="B126" s="94" t="s">
        <v>215</v>
      </c>
      <c r="C126" s="115">
        <v>1</v>
      </c>
      <c r="D126" s="73">
        <v>-1</v>
      </c>
      <c r="E126" s="13">
        <f>VLOOKUP(B126,'kl cua'!$B$6:$D$20,3,0)</f>
        <v>0.8</v>
      </c>
      <c r="F126" s="74">
        <v>0.1</v>
      </c>
      <c r="G126" s="4">
        <f>VLOOKUP(B126,'kl cua'!$B$6:$E$20,4,0)</f>
        <v>1.6</v>
      </c>
      <c r="H126" s="5"/>
      <c r="I126" s="5">
        <f t="shared" si="22"/>
        <v>-0.12800000000000003</v>
      </c>
      <c r="J126" s="5"/>
      <c r="K126" s="5"/>
      <c r="L126" s="5"/>
      <c r="M126" s="5">
        <f t="shared" si="23"/>
        <v>-2.5600000000000005</v>
      </c>
    </row>
    <row r="127" spans="1:15" ht="14.25">
      <c r="A127" s="58">
        <v>3</v>
      </c>
      <c r="B127" s="94" t="s">
        <v>209</v>
      </c>
      <c r="C127" s="115">
        <v>1</v>
      </c>
      <c r="D127" s="73">
        <v>1</v>
      </c>
      <c r="E127" s="13">
        <f>0.96+0.2</f>
        <v>1.16</v>
      </c>
      <c r="F127" s="74">
        <v>0.1</v>
      </c>
      <c r="G127" s="59">
        <f>3.9-0.1</f>
        <v>3.8</v>
      </c>
      <c r="H127" s="5">
        <f>+C127*D127*E127*F127</f>
        <v>0.11599999999999999</v>
      </c>
      <c r="I127" s="5">
        <f t="shared" si="22"/>
        <v>0.44079999999999997</v>
      </c>
      <c r="J127" s="5"/>
      <c r="K127" s="5"/>
      <c r="L127" s="5"/>
      <c r="M127" s="5">
        <f t="shared" si="23"/>
        <v>8.815999999999999</v>
      </c>
      <c r="O127" s="26"/>
    </row>
    <row r="128" spans="1:15" ht="15">
      <c r="A128" s="58"/>
      <c r="B128" s="102" t="s">
        <v>180</v>
      </c>
      <c r="C128" s="111"/>
      <c r="D128" s="112"/>
      <c r="E128" s="9"/>
      <c r="F128" s="113"/>
      <c r="G128" s="114"/>
      <c r="H128" s="9"/>
      <c r="I128" s="9"/>
      <c r="J128" s="9"/>
      <c r="K128" s="9"/>
      <c r="L128" s="9"/>
      <c r="M128" s="8">
        <f>SUM(M129:M137)*0.9</f>
        <v>877.3811999999998</v>
      </c>
      <c r="O128" s="26"/>
    </row>
    <row r="129" spans="1:13" s="21" customFormat="1" ht="14.25">
      <c r="A129" s="58">
        <v>1</v>
      </c>
      <c r="B129" s="94" t="s">
        <v>178</v>
      </c>
      <c r="C129" s="115">
        <v>3</v>
      </c>
      <c r="D129" s="73">
        <v>1</v>
      </c>
      <c r="E129" s="13">
        <f>3.9-0.2</f>
        <v>3.6999999999999997</v>
      </c>
      <c r="F129" s="74">
        <v>0.1</v>
      </c>
      <c r="G129" s="59">
        <f>3.9-0.3</f>
        <v>3.6</v>
      </c>
      <c r="H129" s="5">
        <f aca="true" t="shared" si="24" ref="H129:H135">+C129*D129*E129*F129</f>
        <v>1.11</v>
      </c>
      <c r="I129" s="5">
        <f aca="true" t="shared" si="25" ref="I129:I137">+C129*D129*E129*F129*G129</f>
        <v>3.9960000000000004</v>
      </c>
      <c r="J129" s="5"/>
      <c r="K129" s="5"/>
      <c r="L129" s="5"/>
      <c r="M129" s="5">
        <f aca="true" t="shared" si="26" ref="M129:M137">2*C129*D129*E129*G129-J129</f>
        <v>79.92</v>
      </c>
    </row>
    <row r="130" spans="1:13" s="21" customFormat="1" ht="15">
      <c r="A130" s="58"/>
      <c r="B130" s="80"/>
      <c r="C130" s="115">
        <v>3</v>
      </c>
      <c r="D130" s="73">
        <v>1</v>
      </c>
      <c r="E130" s="13">
        <f>3.4-0.1</f>
        <v>3.3</v>
      </c>
      <c r="F130" s="74">
        <v>0.1</v>
      </c>
      <c r="G130" s="59">
        <f>+G129</f>
        <v>3.6</v>
      </c>
      <c r="H130" s="5">
        <f t="shared" si="24"/>
        <v>0.9899999999999999</v>
      </c>
      <c r="I130" s="5">
        <f t="shared" si="25"/>
        <v>3.5639999999999996</v>
      </c>
      <c r="J130" s="5"/>
      <c r="K130" s="5"/>
      <c r="L130" s="5"/>
      <c r="M130" s="5">
        <f t="shared" si="26"/>
        <v>71.27999999999999</v>
      </c>
    </row>
    <row r="131" spans="1:13" s="21" customFormat="1" ht="14.25">
      <c r="A131" s="58">
        <v>2</v>
      </c>
      <c r="B131" s="94" t="s">
        <v>212</v>
      </c>
      <c r="C131" s="115">
        <v>3</v>
      </c>
      <c r="D131" s="73"/>
      <c r="E131" s="13"/>
      <c r="F131" s="74"/>
      <c r="G131" s="59"/>
      <c r="H131" s="5">
        <f t="shared" si="24"/>
        <v>0</v>
      </c>
      <c r="I131" s="5">
        <f t="shared" si="25"/>
        <v>0</v>
      </c>
      <c r="J131" s="5"/>
      <c r="K131" s="5"/>
      <c r="L131" s="5"/>
      <c r="M131" s="5">
        <f t="shared" si="26"/>
        <v>0</v>
      </c>
    </row>
    <row r="132" spans="1:13" s="21" customFormat="1" ht="14.25">
      <c r="A132" s="58"/>
      <c r="B132" s="94" t="s">
        <v>213</v>
      </c>
      <c r="C132" s="115">
        <v>3</v>
      </c>
      <c r="D132" s="73">
        <v>1</v>
      </c>
      <c r="E132" s="13">
        <f>4.2-0.2</f>
        <v>4</v>
      </c>
      <c r="F132" s="74">
        <v>0.1</v>
      </c>
      <c r="G132" s="59">
        <f>1.8-0.3</f>
        <v>1.5</v>
      </c>
      <c r="H132" s="5">
        <f t="shared" si="24"/>
        <v>1.2000000000000002</v>
      </c>
      <c r="I132" s="5">
        <f t="shared" si="25"/>
        <v>1.8000000000000003</v>
      </c>
      <c r="J132" s="5"/>
      <c r="K132" s="5"/>
      <c r="L132" s="5"/>
      <c r="M132" s="5">
        <f t="shared" si="26"/>
        <v>36</v>
      </c>
    </row>
    <row r="133" spans="1:13" s="21" customFormat="1" ht="14.25">
      <c r="A133" s="58"/>
      <c r="B133" s="94" t="s">
        <v>214</v>
      </c>
      <c r="C133" s="115">
        <v>3</v>
      </c>
      <c r="D133" s="73">
        <v>1</v>
      </c>
      <c r="E133" s="13">
        <f>0.5*(3.6-0.2)</f>
        <v>1.7</v>
      </c>
      <c r="F133" s="74">
        <v>0.1</v>
      </c>
      <c r="G133" s="59">
        <f>+G132</f>
        <v>1.5</v>
      </c>
      <c r="H133" s="5">
        <f t="shared" si="24"/>
        <v>0.51</v>
      </c>
      <c r="I133" s="5">
        <f t="shared" si="25"/>
        <v>0.765</v>
      </c>
      <c r="J133" s="5"/>
      <c r="K133" s="5"/>
      <c r="L133" s="5"/>
      <c r="M133" s="5">
        <f t="shared" si="26"/>
        <v>15.299999999999999</v>
      </c>
    </row>
    <row r="134" spans="1:13" s="21" customFormat="1" ht="14.25">
      <c r="A134" s="58">
        <v>3</v>
      </c>
      <c r="B134" s="94" t="s">
        <v>179</v>
      </c>
      <c r="C134" s="115">
        <v>3</v>
      </c>
      <c r="D134" s="73">
        <v>6</v>
      </c>
      <c r="E134" s="13">
        <f>6.6-0.2</f>
        <v>6.3999999999999995</v>
      </c>
      <c r="F134" s="74">
        <v>0.1</v>
      </c>
      <c r="G134" s="59">
        <f>3.9-0.55</f>
        <v>3.3499999999999996</v>
      </c>
      <c r="H134" s="5">
        <f t="shared" si="24"/>
        <v>11.52</v>
      </c>
      <c r="I134" s="5">
        <f t="shared" si="25"/>
        <v>38.59199999999999</v>
      </c>
      <c r="J134" s="5"/>
      <c r="K134" s="5"/>
      <c r="L134" s="5"/>
      <c r="M134" s="5">
        <f t="shared" si="26"/>
        <v>771.8399999999998</v>
      </c>
    </row>
    <row r="135" spans="1:13" s="21" customFormat="1" ht="14.25">
      <c r="A135" s="58"/>
      <c r="B135" s="94" t="s">
        <v>159</v>
      </c>
      <c r="C135" s="115">
        <v>3</v>
      </c>
      <c r="D135" s="73"/>
      <c r="E135" s="13"/>
      <c r="F135" s="74"/>
      <c r="G135" s="59"/>
      <c r="H135" s="5">
        <f t="shared" si="24"/>
        <v>0</v>
      </c>
      <c r="I135" s="5">
        <f t="shared" si="25"/>
        <v>0</v>
      </c>
      <c r="J135" s="5"/>
      <c r="K135" s="5"/>
      <c r="L135" s="5"/>
      <c r="M135" s="5">
        <f t="shared" si="26"/>
        <v>0</v>
      </c>
    </row>
    <row r="136" spans="1:13" s="21" customFormat="1" ht="14.25">
      <c r="A136" s="58"/>
      <c r="B136" s="94" t="s">
        <v>208</v>
      </c>
      <c r="C136" s="115">
        <v>3</v>
      </c>
      <c r="D136" s="73">
        <v>-2</v>
      </c>
      <c r="E136" s="13">
        <f>VLOOKUP(B136,'kl cua'!$B$6:$D$20,3,0)</f>
        <v>0.9</v>
      </c>
      <c r="F136" s="74">
        <v>0.1</v>
      </c>
      <c r="G136" s="4">
        <f>VLOOKUP(B136,'kl cua'!$B$6:$E$20,4,0)</f>
        <v>2.4</v>
      </c>
      <c r="H136" s="5"/>
      <c r="I136" s="5">
        <f t="shared" si="25"/>
        <v>-1.296</v>
      </c>
      <c r="J136" s="5"/>
      <c r="K136" s="5"/>
      <c r="L136" s="5"/>
      <c r="M136" s="5">
        <f t="shared" si="26"/>
        <v>-25.92</v>
      </c>
    </row>
    <row r="137" spans="1:15" ht="14.25">
      <c r="A137" s="58">
        <v>3</v>
      </c>
      <c r="B137" s="94" t="s">
        <v>209</v>
      </c>
      <c r="C137" s="115">
        <v>3</v>
      </c>
      <c r="D137" s="73">
        <v>1</v>
      </c>
      <c r="E137" s="13">
        <f>0.96+0.2</f>
        <v>1.16</v>
      </c>
      <c r="F137" s="74">
        <v>0.1</v>
      </c>
      <c r="G137" s="59">
        <f>3.9-0.1</f>
        <v>3.8</v>
      </c>
      <c r="H137" s="5">
        <f>+C137*D137*E137*F137</f>
        <v>0.348</v>
      </c>
      <c r="I137" s="5">
        <f t="shared" si="25"/>
        <v>1.3223999999999998</v>
      </c>
      <c r="J137" s="5"/>
      <c r="K137" s="5"/>
      <c r="L137" s="5"/>
      <c r="M137" s="5">
        <f t="shared" si="26"/>
        <v>26.447999999999997</v>
      </c>
      <c r="O137" s="26"/>
    </row>
    <row r="138" spans="1:13" ht="14.25">
      <c r="A138" s="22"/>
      <c r="B138" s="101"/>
      <c r="C138" s="122"/>
      <c r="D138" s="24"/>
      <c r="E138" s="24"/>
      <c r="F138" s="86"/>
      <c r="G138" s="23"/>
      <c r="H138" s="24"/>
      <c r="I138" s="24"/>
      <c r="J138" s="24"/>
      <c r="K138" s="24"/>
      <c r="L138" s="24"/>
      <c r="M138" s="24"/>
    </row>
  </sheetData>
  <sheetProtection/>
  <mergeCells count="13">
    <mergeCell ref="A1:M1"/>
    <mergeCell ref="A3:A4"/>
    <mergeCell ref="B3:B4"/>
    <mergeCell ref="D3:D4"/>
    <mergeCell ref="E3:G3"/>
    <mergeCell ref="L3:L4"/>
    <mergeCell ref="K3:K4"/>
    <mergeCell ref="N3:N4"/>
    <mergeCell ref="I3:I4"/>
    <mergeCell ref="C3:C4"/>
    <mergeCell ref="J3:J4"/>
    <mergeCell ref="H3:H4"/>
    <mergeCell ref="M3:M4"/>
  </mergeCells>
  <printOptions horizontalCentered="1"/>
  <pageMargins left="0.85" right="0.21" top="0.76" bottom="0.4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9.140625" defaultRowHeight="12.75"/>
  <cols>
    <col min="1" max="1" width="5.140625" style="25" customWidth="1"/>
    <col min="2" max="2" width="21.140625" style="28" bestFit="1" customWidth="1"/>
    <col min="3" max="3" width="6.00390625" style="26" bestFit="1" customWidth="1"/>
    <col min="4" max="4" width="8.7109375" style="26" bestFit="1" customWidth="1"/>
    <col min="5" max="5" width="7.28125" style="29" customWidth="1"/>
    <col min="6" max="6" width="7.57421875" style="2" customWidth="1"/>
    <col min="7" max="8" width="10.00390625" style="26" customWidth="1"/>
    <col min="9" max="18" width="9.140625" style="2" customWidth="1"/>
    <col min="19" max="19" width="11.28125" style="2" bestFit="1" customWidth="1"/>
    <col min="20" max="16384" width="9.140625" style="2" customWidth="1"/>
  </cols>
  <sheetData>
    <row r="1" spans="1:9" ht="16.5">
      <c r="A1" s="285" t="s">
        <v>224</v>
      </c>
      <c r="B1" s="285"/>
      <c r="C1" s="285"/>
      <c r="D1" s="285"/>
      <c r="E1" s="285"/>
      <c r="F1" s="285"/>
      <c r="G1" s="285"/>
      <c r="H1" s="285"/>
      <c r="I1" s="285"/>
    </row>
    <row r="3" spans="1:9" ht="21" customHeight="1">
      <c r="A3" s="288" t="s">
        <v>1</v>
      </c>
      <c r="B3" s="286" t="s">
        <v>137</v>
      </c>
      <c r="C3" s="288" t="s">
        <v>74</v>
      </c>
      <c r="D3" s="289" t="s">
        <v>75</v>
      </c>
      <c r="E3" s="289"/>
      <c r="F3" s="289"/>
      <c r="G3" s="290" t="s">
        <v>85</v>
      </c>
      <c r="H3" s="290" t="s">
        <v>86</v>
      </c>
      <c r="I3" s="290" t="s">
        <v>225</v>
      </c>
    </row>
    <row r="4" spans="1:9" ht="16.5" customHeight="1">
      <c r="A4" s="288"/>
      <c r="B4" s="287"/>
      <c r="C4" s="288" t="s">
        <v>87</v>
      </c>
      <c r="D4" s="62" t="s">
        <v>254</v>
      </c>
      <c r="E4" s="64" t="s">
        <v>88</v>
      </c>
      <c r="F4" s="62" t="s">
        <v>222</v>
      </c>
      <c r="G4" s="291"/>
      <c r="H4" s="291"/>
      <c r="I4" s="291"/>
    </row>
    <row r="5" spans="1:9" ht="16.5" customHeight="1">
      <c r="A5" s="66"/>
      <c r="B5" s="102" t="s">
        <v>56</v>
      </c>
      <c r="C5" s="66"/>
      <c r="D5" s="67"/>
      <c r="E5" s="68"/>
      <c r="F5" s="67"/>
      <c r="G5" s="70">
        <f>SUM(G7:G33)</f>
        <v>6.6514999999999995</v>
      </c>
      <c r="H5" s="8">
        <f>SUM(H7:H33)</f>
        <v>1.14491</v>
      </c>
      <c r="I5" s="103"/>
    </row>
    <row r="6" spans="1:9" ht="16.5" customHeight="1">
      <c r="A6" s="66"/>
      <c r="B6" s="102" t="s">
        <v>69</v>
      </c>
      <c r="C6" s="66"/>
      <c r="D6" s="67"/>
      <c r="E6" s="68"/>
      <c r="F6" s="67"/>
      <c r="G6" s="8"/>
      <c r="H6" s="8"/>
      <c r="I6" s="8">
        <f>SUM(I7:I17)</f>
        <v>6.032</v>
      </c>
    </row>
    <row r="7" spans="1:9" ht="14.25">
      <c r="A7" s="58">
        <v>1</v>
      </c>
      <c r="B7" s="94" t="s">
        <v>57</v>
      </c>
      <c r="C7" s="73">
        <v>1</v>
      </c>
      <c r="D7" s="13">
        <v>4.38</v>
      </c>
      <c r="E7" s="74">
        <v>0.2</v>
      </c>
      <c r="F7" s="4">
        <v>0.25</v>
      </c>
      <c r="G7" s="5">
        <f aca="true" t="shared" si="0" ref="G7:G17">+C7*D7*E7*F7</f>
        <v>0.219</v>
      </c>
      <c r="H7" s="5">
        <f aca="true" t="shared" si="1" ref="H7:H17">+C7*D7*(E7+2*F7)/100</f>
        <v>0.03066</v>
      </c>
      <c r="I7" s="95">
        <f aca="true" t="shared" si="2" ref="I7:I17">IF(E7&gt;0.2,C7*((D7-0.4)*(E7-0.2)*2+(E7-0.2)*F7*2),0)</f>
        <v>0</v>
      </c>
    </row>
    <row r="8" spans="1:11" ht="14.25">
      <c r="A8" s="58">
        <v>2</v>
      </c>
      <c r="B8" s="94" t="s">
        <v>58</v>
      </c>
      <c r="C8" s="73">
        <v>4</v>
      </c>
      <c r="D8" s="13">
        <v>2.4</v>
      </c>
      <c r="E8" s="74">
        <v>0.3</v>
      </c>
      <c r="F8" s="4">
        <v>0.1</v>
      </c>
      <c r="G8" s="5">
        <f t="shared" si="0"/>
        <v>0.288</v>
      </c>
      <c r="H8" s="5">
        <f t="shared" si="1"/>
        <v>0.048</v>
      </c>
      <c r="I8" s="95">
        <f t="shared" si="2"/>
        <v>1.6799999999999997</v>
      </c>
      <c r="J8" s="104"/>
      <c r="K8" s="1"/>
    </row>
    <row r="9" spans="1:10" ht="14.25">
      <c r="A9" s="58">
        <v>3</v>
      </c>
      <c r="B9" s="94" t="s">
        <v>59</v>
      </c>
      <c r="C9" s="73">
        <v>2</v>
      </c>
      <c r="D9" s="13">
        <v>2.7</v>
      </c>
      <c r="E9" s="74">
        <v>0.3</v>
      </c>
      <c r="F9" s="4">
        <v>0.1</v>
      </c>
      <c r="G9" s="5">
        <f t="shared" si="0"/>
        <v>0.16200000000000003</v>
      </c>
      <c r="H9" s="5">
        <f t="shared" si="1"/>
        <v>0.027000000000000003</v>
      </c>
      <c r="I9" s="95">
        <f t="shared" si="2"/>
        <v>0.96</v>
      </c>
      <c r="J9" s="75"/>
    </row>
    <row r="10" spans="1:9" ht="14.25">
      <c r="A10" s="58">
        <v>4</v>
      </c>
      <c r="B10" s="94" t="s">
        <v>60</v>
      </c>
      <c r="C10" s="73">
        <v>2</v>
      </c>
      <c r="D10" s="13">
        <v>1.58</v>
      </c>
      <c r="E10" s="74">
        <v>0.3</v>
      </c>
      <c r="F10" s="4">
        <v>0.1</v>
      </c>
      <c r="G10" s="5">
        <f t="shared" si="0"/>
        <v>0.0948</v>
      </c>
      <c r="H10" s="5">
        <f t="shared" si="1"/>
        <v>0.0158</v>
      </c>
      <c r="I10" s="95">
        <f t="shared" si="2"/>
        <v>0.512</v>
      </c>
    </row>
    <row r="11" spans="1:9" ht="14.25">
      <c r="A11" s="58">
        <v>5</v>
      </c>
      <c r="B11" s="94" t="s">
        <v>61</v>
      </c>
      <c r="C11" s="73">
        <v>0</v>
      </c>
      <c r="D11" s="13">
        <v>1.58</v>
      </c>
      <c r="E11" s="74">
        <v>0.3</v>
      </c>
      <c r="F11" s="4">
        <v>0.1</v>
      </c>
      <c r="G11" s="5">
        <f t="shared" si="0"/>
        <v>0</v>
      </c>
      <c r="H11" s="5">
        <f t="shared" si="1"/>
        <v>0</v>
      </c>
      <c r="I11" s="95">
        <f t="shared" si="2"/>
        <v>0</v>
      </c>
    </row>
    <row r="12" spans="1:9" ht="14.25">
      <c r="A12" s="58">
        <v>6</v>
      </c>
      <c r="B12" s="94" t="s">
        <v>62</v>
      </c>
      <c r="C12" s="73">
        <v>10</v>
      </c>
      <c r="D12" s="13">
        <v>1.6</v>
      </c>
      <c r="E12" s="74">
        <v>0.2</v>
      </c>
      <c r="F12" s="4">
        <v>0.1</v>
      </c>
      <c r="G12" s="5">
        <f t="shared" si="0"/>
        <v>0.32000000000000006</v>
      </c>
      <c r="H12" s="5">
        <f t="shared" si="1"/>
        <v>0.064</v>
      </c>
      <c r="I12" s="95">
        <f t="shared" si="2"/>
        <v>0</v>
      </c>
    </row>
    <row r="13" spans="1:9" ht="14.25">
      <c r="A13" s="58">
        <v>7</v>
      </c>
      <c r="B13" s="94" t="s">
        <v>63</v>
      </c>
      <c r="C13" s="73">
        <v>2</v>
      </c>
      <c r="D13" s="13">
        <v>1.3</v>
      </c>
      <c r="E13" s="74">
        <v>0.1</v>
      </c>
      <c r="F13" s="4">
        <v>0.1</v>
      </c>
      <c r="G13" s="5">
        <f t="shared" si="0"/>
        <v>0.026000000000000002</v>
      </c>
      <c r="H13" s="5">
        <f t="shared" si="1"/>
        <v>0.007800000000000001</v>
      </c>
      <c r="I13" s="95">
        <f t="shared" si="2"/>
        <v>0</v>
      </c>
    </row>
    <row r="14" spans="1:9" ht="14.25">
      <c r="A14" s="58">
        <v>8</v>
      </c>
      <c r="B14" s="94" t="s">
        <v>64</v>
      </c>
      <c r="C14" s="73">
        <v>1</v>
      </c>
      <c r="D14" s="13">
        <v>1.3</v>
      </c>
      <c r="E14" s="74">
        <v>0.2</v>
      </c>
      <c r="F14" s="4">
        <v>0.1</v>
      </c>
      <c r="G14" s="5">
        <f t="shared" si="0"/>
        <v>0.026000000000000002</v>
      </c>
      <c r="H14" s="5">
        <f t="shared" si="1"/>
        <v>0.0052</v>
      </c>
      <c r="I14" s="95">
        <f t="shared" si="2"/>
        <v>0</v>
      </c>
    </row>
    <row r="15" spans="1:9" ht="14.25">
      <c r="A15" s="58">
        <v>9</v>
      </c>
      <c r="B15" s="94" t="s">
        <v>65</v>
      </c>
      <c r="C15" s="73">
        <v>2</v>
      </c>
      <c r="D15" s="13">
        <v>1</v>
      </c>
      <c r="E15" s="74">
        <v>0.3</v>
      </c>
      <c r="F15" s="4">
        <v>0.1</v>
      </c>
      <c r="G15" s="5">
        <f t="shared" si="0"/>
        <v>0.06</v>
      </c>
      <c r="H15" s="5">
        <f t="shared" si="1"/>
        <v>0.01</v>
      </c>
      <c r="I15" s="95">
        <f t="shared" si="2"/>
        <v>0.2799999999999999</v>
      </c>
    </row>
    <row r="16" spans="1:9" ht="14.25">
      <c r="A16" s="58">
        <v>10</v>
      </c>
      <c r="B16" s="94" t="s">
        <v>66</v>
      </c>
      <c r="C16" s="73">
        <v>10</v>
      </c>
      <c r="D16" s="13">
        <v>1.6</v>
      </c>
      <c r="E16" s="74">
        <v>0.3</v>
      </c>
      <c r="F16" s="4">
        <v>0.1</v>
      </c>
      <c r="G16" s="5">
        <f t="shared" si="0"/>
        <v>0.48</v>
      </c>
      <c r="H16" s="5">
        <f t="shared" si="1"/>
        <v>0.08</v>
      </c>
      <c r="I16" s="95">
        <f t="shared" si="2"/>
        <v>2.6</v>
      </c>
    </row>
    <row r="17" spans="1:9" ht="14.25" hidden="1">
      <c r="A17" s="58">
        <v>11</v>
      </c>
      <c r="B17" s="94" t="s">
        <v>226</v>
      </c>
      <c r="C17" s="73">
        <v>0</v>
      </c>
      <c r="D17" s="13">
        <v>1.49</v>
      </c>
      <c r="E17" s="74">
        <v>0.2</v>
      </c>
      <c r="F17" s="4">
        <v>0.1</v>
      </c>
      <c r="G17" s="5">
        <f t="shared" si="0"/>
        <v>0</v>
      </c>
      <c r="H17" s="5">
        <f t="shared" si="1"/>
        <v>0</v>
      </c>
      <c r="I17" s="95">
        <f t="shared" si="2"/>
        <v>0</v>
      </c>
    </row>
    <row r="18" spans="1:9" ht="15">
      <c r="A18" s="58"/>
      <c r="B18" s="102" t="s">
        <v>227</v>
      </c>
      <c r="C18" s="105"/>
      <c r="D18" s="8"/>
      <c r="E18" s="106"/>
      <c r="F18" s="7"/>
      <c r="G18" s="8"/>
      <c r="H18" s="8"/>
      <c r="I18" s="107">
        <f>SUM(I19:I33)</f>
        <v>20.19</v>
      </c>
    </row>
    <row r="19" spans="1:9" ht="14.25">
      <c r="A19" s="58">
        <v>1</v>
      </c>
      <c r="B19" s="94" t="s">
        <v>57</v>
      </c>
      <c r="C19" s="73">
        <f>1-C7</f>
        <v>0</v>
      </c>
      <c r="D19" s="13">
        <v>4.38</v>
      </c>
      <c r="E19" s="74">
        <v>0.2</v>
      </c>
      <c r="F19" s="4">
        <v>0.35</v>
      </c>
      <c r="G19" s="5">
        <f aca="true" t="shared" si="3" ref="G19:G33">+C19*D19*E19*F19</f>
        <v>0</v>
      </c>
      <c r="H19" s="5">
        <f aca="true" t="shared" si="4" ref="H19:H33">+C19*D19*(E19+2*F19)/100</f>
        <v>0</v>
      </c>
      <c r="I19" s="95">
        <f aca="true" t="shared" si="5" ref="I19:I33">IF(E19&gt;0.2,C19*((D19-0.4)*(E19-0.2)*2+(E19-0.2)*F19*2),0)</f>
        <v>0</v>
      </c>
    </row>
    <row r="20" spans="1:10" ht="14.25">
      <c r="A20" s="58">
        <v>2</v>
      </c>
      <c r="B20" s="94" t="s">
        <v>58</v>
      </c>
      <c r="C20" s="73">
        <f>16-C8</f>
        <v>12</v>
      </c>
      <c r="D20" s="13">
        <v>2.4</v>
      </c>
      <c r="E20" s="74">
        <v>0.3</v>
      </c>
      <c r="F20" s="4">
        <v>0.1</v>
      </c>
      <c r="G20" s="5">
        <f t="shared" si="3"/>
        <v>0.8639999999999999</v>
      </c>
      <c r="H20" s="5">
        <f t="shared" si="4"/>
        <v>0.144</v>
      </c>
      <c r="I20" s="95">
        <f t="shared" si="5"/>
        <v>5.039999999999999</v>
      </c>
      <c r="J20" s="104"/>
    </row>
    <row r="21" spans="1:10" ht="14.25">
      <c r="A21" s="58">
        <v>3</v>
      </c>
      <c r="B21" s="94" t="s">
        <v>59</v>
      </c>
      <c r="C21" s="73">
        <f>8-C9</f>
        <v>6</v>
      </c>
      <c r="D21" s="13">
        <v>2.7</v>
      </c>
      <c r="E21" s="74">
        <v>0.3</v>
      </c>
      <c r="F21" s="4">
        <v>0.1</v>
      </c>
      <c r="G21" s="5">
        <f t="shared" si="3"/>
        <v>0.48600000000000004</v>
      </c>
      <c r="H21" s="5">
        <f t="shared" si="4"/>
        <v>0.08100000000000002</v>
      </c>
      <c r="I21" s="95">
        <f t="shared" si="5"/>
        <v>2.88</v>
      </c>
      <c r="J21" s="75"/>
    </row>
    <row r="22" spans="1:9" ht="14.25">
      <c r="A22" s="58">
        <v>4</v>
      </c>
      <c r="B22" s="94" t="s">
        <v>60</v>
      </c>
      <c r="C22" s="73">
        <f>2-C10</f>
        <v>0</v>
      </c>
      <c r="D22" s="13">
        <v>1.58</v>
      </c>
      <c r="E22" s="74">
        <v>0.3</v>
      </c>
      <c r="F22" s="4">
        <v>0.1</v>
      </c>
      <c r="G22" s="5">
        <f t="shared" si="3"/>
        <v>0</v>
      </c>
      <c r="H22" s="5">
        <f t="shared" si="4"/>
        <v>0</v>
      </c>
      <c r="I22" s="95">
        <f t="shared" si="5"/>
        <v>0</v>
      </c>
    </row>
    <row r="23" spans="1:9" ht="14.25">
      <c r="A23" s="58">
        <v>5</v>
      </c>
      <c r="B23" s="94" t="s">
        <v>61</v>
      </c>
      <c r="C23" s="73">
        <f>6-C11</f>
        <v>6</v>
      </c>
      <c r="D23" s="13">
        <v>1.58</v>
      </c>
      <c r="E23" s="74">
        <v>0.3</v>
      </c>
      <c r="F23" s="4">
        <v>0.1</v>
      </c>
      <c r="G23" s="5">
        <f t="shared" si="3"/>
        <v>0.2844</v>
      </c>
      <c r="H23" s="5">
        <f t="shared" si="4"/>
        <v>0.047400000000000005</v>
      </c>
      <c r="I23" s="95">
        <f t="shared" si="5"/>
        <v>1.536</v>
      </c>
    </row>
    <row r="24" spans="1:9" ht="14.25">
      <c r="A24" s="58">
        <v>6</v>
      </c>
      <c r="B24" s="94" t="s">
        <v>62</v>
      </c>
      <c r="C24" s="73">
        <f>40-C12</f>
        <v>30</v>
      </c>
      <c r="D24" s="13">
        <v>1.6</v>
      </c>
      <c r="E24" s="74">
        <v>0.2</v>
      </c>
      <c r="F24" s="4">
        <v>0.1</v>
      </c>
      <c r="G24" s="5">
        <f t="shared" si="3"/>
        <v>0.9600000000000002</v>
      </c>
      <c r="H24" s="5">
        <f t="shared" si="4"/>
        <v>0.19200000000000003</v>
      </c>
      <c r="I24" s="95">
        <f t="shared" si="5"/>
        <v>0</v>
      </c>
    </row>
    <row r="25" spans="1:9" ht="14.25">
      <c r="A25" s="58">
        <v>7</v>
      </c>
      <c r="B25" s="94" t="s">
        <v>63</v>
      </c>
      <c r="C25" s="73">
        <f>5-C13</f>
        <v>3</v>
      </c>
      <c r="D25" s="13">
        <v>1.3</v>
      </c>
      <c r="E25" s="74">
        <v>0.1</v>
      </c>
      <c r="F25" s="4">
        <v>0.1</v>
      </c>
      <c r="G25" s="5">
        <f t="shared" si="3"/>
        <v>0.03900000000000001</v>
      </c>
      <c r="H25" s="5">
        <f t="shared" si="4"/>
        <v>0.011700000000000004</v>
      </c>
      <c r="I25" s="95">
        <f t="shared" si="5"/>
        <v>0</v>
      </c>
    </row>
    <row r="26" spans="1:9" ht="14.25">
      <c r="A26" s="58">
        <v>8</v>
      </c>
      <c r="B26" s="94" t="s">
        <v>64</v>
      </c>
      <c r="C26" s="73">
        <f>4-C14</f>
        <v>3</v>
      </c>
      <c r="D26" s="13">
        <v>1.3</v>
      </c>
      <c r="E26" s="74">
        <v>0.2</v>
      </c>
      <c r="F26" s="4">
        <v>0.1</v>
      </c>
      <c r="G26" s="5">
        <f t="shared" si="3"/>
        <v>0.07800000000000001</v>
      </c>
      <c r="H26" s="5">
        <f t="shared" si="4"/>
        <v>0.015600000000000003</v>
      </c>
      <c r="I26" s="95">
        <f t="shared" si="5"/>
        <v>0</v>
      </c>
    </row>
    <row r="27" spans="1:9" ht="14.25">
      <c r="A27" s="58">
        <v>9</v>
      </c>
      <c r="B27" s="94" t="s">
        <v>65</v>
      </c>
      <c r="C27" s="73">
        <f>8-C15</f>
        <v>6</v>
      </c>
      <c r="D27" s="13">
        <v>1</v>
      </c>
      <c r="E27" s="74">
        <v>0.3</v>
      </c>
      <c r="F27" s="4">
        <v>0.1</v>
      </c>
      <c r="G27" s="5">
        <f t="shared" si="3"/>
        <v>0.18</v>
      </c>
      <c r="H27" s="5">
        <f t="shared" si="4"/>
        <v>0.03</v>
      </c>
      <c r="I27" s="95">
        <f t="shared" si="5"/>
        <v>0.8399999999999997</v>
      </c>
    </row>
    <row r="28" spans="1:9" ht="14.25">
      <c r="A28" s="58">
        <v>10</v>
      </c>
      <c r="B28" s="94" t="s">
        <v>66</v>
      </c>
      <c r="C28" s="73">
        <f>40-C16</f>
        <v>30</v>
      </c>
      <c r="D28" s="13">
        <v>1.6</v>
      </c>
      <c r="E28" s="74">
        <v>0.3</v>
      </c>
      <c r="F28" s="4">
        <v>0.1</v>
      </c>
      <c r="G28" s="5">
        <f t="shared" si="3"/>
        <v>1.44</v>
      </c>
      <c r="H28" s="5">
        <f t="shared" si="4"/>
        <v>0.24</v>
      </c>
      <c r="I28" s="95">
        <f t="shared" si="5"/>
        <v>7.800000000000001</v>
      </c>
    </row>
    <row r="29" spans="1:9" ht="14.25">
      <c r="A29" s="58">
        <v>11</v>
      </c>
      <c r="B29" s="94" t="s">
        <v>67</v>
      </c>
      <c r="C29" s="73">
        <v>1</v>
      </c>
      <c r="D29" s="13">
        <v>4.38</v>
      </c>
      <c r="E29" s="74">
        <f>0.2+0.15</f>
        <v>0.35</v>
      </c>
      <c r="F29" s="4">
        <v>0.1</v>
      </c>
      <c r="G29" s="5">
        <f t="shared" si="3"/>
        <v>0.1533</v>
      </c>
      <c r="H29" s="5">
        <f t="shared" si="4"/>
        <v>0.024090000000000004</v>
      </c>
      <c r="I29" s="95">
        <f t="shared" si="5"/>
        <v>1.2239999999999998</v>
      </c>
    </row>
    <row r="30" spans="1:9" ht="14.25">
      <c r="A30" s="58"/>
      <c r="B30" s="94"/>
      <c r="C30" s="73">
        <v>1</v>
      </c>
      <c r="D30" s="13">
        <v>4.38</v>
      </c>
      <c r="E30" s="74">
        <v>0.2</v>
      </c>
      <c r="F30" s="4">
        <v>0.25</v>
      </c>
      <c r="G30" s="5">
        <f t="shared" si="3"/>
        <v>0.219</v>
      </c>
      <c r="H30" s="5">
        <f t="shared" si="4"/>
        <v>0.03066</v>
      </c>
      <c r="I30" s="95">
        <f t="shared" si="5"/>
        <v>0</v>
      </c>
    </row>
    <row r="31" spans="1:9" ht="14.25">
      <c r="A31" s="58">
        <v>12</v>
      </c>
      <c r="B31" s="94" t="s">
        <v>68</v>
      </c>
      <c r="C31" s="73">
        <v>1</v>
      </c>
      <c r="D31" s="13">
        <v>3.2</v>
      </c>
      <c r="E31" s="74">
        <f>0.2+0.15</f>
        <v>0.35</v>
      </c>
      <c r="F31" s="4">
        <v>0.1</v>
      </c>
      <c r="G31" s="5">
        <f t="shared" si="3"/>
        <v>0.11199999999999999</v>
      </c>
      <c r="H31" s="5">
        <f t="shared" si="4"/>
        <v>0.0176</v>
      </c>
      <c r="I31" s="95">
        <f t="shared" si="5"/>
        <v>0.8699999999999999</v>
      </c>
    </row>
    <row r="32" spans="1:9" ht="14.25">
      <c r="A32" s="58"/>
      <c r="B32" s="94"/>
      <c r="C32" s="73">
        <v>1</v>
      </c>
      <c r="D32" s="13">
        <v>3.2</v>
      </c>
      <c r="E32" s="74">
        <v>0.2</v>
      </c>
      <c r="F32" s="4">
        <v>0.25</v>
      </c>
      <c r="G32" s="5">
        <f t="shared" si="3"/>
        <v>0.16000000000000003</v>
      </c>
      <c r="H32" s="5">
        <f t="shared" si="4"/>
        <v>0.022399999999999996</v>
      </c>
      <c r="I32" s="95">
        <f t="shared" si="5"/>
        <v>0</v>
      </c>
    </row>
    <row r="33" spans="1:9" ht="14.25" hidden="1">
      <c r="A33" s="58">
        <v>13</v>
      </c>
      <c r="B33" s="94" t="s">
        <v>226</v>
      </c>
      <c r="C33" s="73">
        <v>0</v>
      </c>
      <c r="D33" s="13">
        <v>1.49</v>
      </c>
      <c r="E33" s="74">
        <v>0.2</v>
      </c>
      <c r="F33" s="4">
        <v>0.1</v>
      </c>
      <c r="G33" s="5">
        <f t="shared" si="3"/>
        <v>0</v>
      </c>
      <c r="H33" s="5">
        <f t="shared" si="4"/>
        <v>0</v>
      </c>
      <c r="I33" s="95">
        <f t="shared" si="5"/>
        <v>0</v>
      </c>
    </row>
    <row r="34" spans="1:9" ht="14.25">
      <c r="A34" s="58"/>
      <c r="B34" s="94"/>
      <c r="C34" s="73"/>
      <c r="D34" s="13"/>
      <c r="E34" s="74"/>
      <c r="F34" s="4"/>
      <c r="G34" s="5"/>
      <c r="H34" s="5"/>
      <c r="I34" s="4"/>
    </row>
    <row r="35" spans="1:9" s="3" customFormat="1" ht="15">
      <c r="A35" s="6"/>
      <c r="B35" s="102" t="s">
        <v>228</v>
      </c>
      <c r="C35" s="105"/>
      <c r="D35" s="8"/>
      <c r="E35" s="106"/>
      <c r="F35" s="7"/>
      <c r="G35" s="8">
        <f>SUM(G37:G45)</f>
        <v>11.500364969574436</v>
      </c>
      <c r="H35" s="8">
        <f>+H36+H41</f>
        <v>0.9741394976335676</v>
      </c>
      <c r="I35" s="11"/>
    </row>
    <row r="36" spans="1:9" ht="15">
      <c r="A36" s="58">
        <v>1</v>
      </c>
      <c r="B36" s="94" t="s">
        <v>229</v>
      </c>
      <c r="C36" s="73"/>
      <c r="D36" s="13"/>
      <c r="E36" s="74"/>
      <c r="F36" s="4"/>
      <c r="G36" s="12"/>
      <c r="H36" s="12">
        <f>SUM(H37:H40)</f>
        <v>0.3296467390989842</v>
      </c>
      <c r="I36" s="4"/>
    </row>
    <row r="37" spans="1:9" ht="14.25">
      <c r="A37" s="58"/>
      <c r="B37" s="94" t="s">
        <v>230</v>
      </c>
      <c r="C37" s="73">
        <v>2</v>
      </c>
      <c r="D37" s="13">
        <f>+SQRT(3.6^2+1.8^2)</f>
        <v>4.024922359499622</v>
      </c>
      <c r="E37" s="74">
        <v>1.8</v>
      </c>
      <c r="F37" s="4">
        <v>0.15</v>
      </c>
      <c r="G37" s="5">
        <f>+C37*D37*E37*F37</f>
        <v>2.1734580741297957</v>
      </c>
      <c r="H37" s="5">
        <f>+C37*D37*(E37+2*F37)/100</f>
        <v>0.16904673909898413</v>
      </c>
      <c r="I37" s="4"/>
    </row>
    <row r="38" spans="1:10" ht="14.25">
      <c r="A38" s="58"/>
      <c r="B38" s="94" t="s">
        <v>231</v>
      </c>
      <c r="C38" s="73">
        <v>1</v>
      </c>
      <c r="D38" s="13">
        <f>4.2+0.2</f>
        <v>4.4</v>
      </c>
      <c r="E38" s="74">
        <v>2.2</v>
      </c>
      <c r="F38" s="4">
        <v>0.15</v>
      </c>
      <c r="G38" s="5">
        <f>+C38*D38*E38*F38</f>
        <v>1.4520000000000002</v>
      </c>
      <c r="H38" s="5">
        <f>+C38*(D38*E38+(D38+E38)*2*F38)/100</f>
        <v>0.11660000000000002</v>
      </c>
      <c r="I38" s="4"/>
      <c r="J38" s="75"/>
    </row>
    <row r="39" spans="1:10" ht="14.25">
      <c r="A39" s="58"/>
      <c r="B39" s="94" t="s">
        <v>232</v>
      </c>
      <c r="C39" s="73">
        <v>1</v>
      </c>
      <c r="D39" s="13">
        <v>4.4</v>
      </c>
      <c r="E39" s="74">
        <v>0.2</v>
      </c>
      <c r="F39" s="4">
        <v>0.15</v>
      </c>
      <c r="G39" s="5">
        <f>+C39*D39*E39*F39</f>
        <v>0.132</v>
      </c>
      <c r="H39" s="5">
        <f>+C39*D39*(E39+2*F39)/100</f>
        <v>0.022000000000000002</v>
      </c>
      <c r="I39" s="4"/>
      <c r="J39" s="26"/>
    </row>
    <row r="40" spans="1:10" s="3" customFormat="1" ht="15">
      <c r="A40" s="14"/>
      <c r="B40" s="94" t="s">
        <v>139</v>
      </c>
      <c r="C40" s="73">
        <v>1</v>
      </c>
      <c r="D40" s="13">
        <v>4.4</v>
      </c>
      <c r="E40" s="74">
        <v>0.2</v>
      </c>
      <c r="F40" s="4">
        <v>0.15</v>
      </c>
      <c r="G40" s="5">
        <f>+C40*D40*E40*F40</f>
        <v>0.132</v>
      </c>
      <c r="H40" s="5">
        <f>+C40*D40*(E40+2*F40)/100</f>
        <v>0.022000000000000002</v>
      </c>
      <c r="I40" s="11"/>
      <c r="J40" s="108"/>
    </row>
    <row r="41" spans="1:10" ht="15">
      <c r="A41" s="58">
        <v>2</v>
      </c>
      <c r="B41" s="94" t="s">
        <v>140</v>
      </c>
      <c r="C41" s="73"/>
      <c r="D41" s="13"/>
      <c r="E41" s="74"/>
      <c r="F41" s="4"/>
      <c r="G41" s="12"/>
      <c r="H41" s="12">
        <f>SUM(H42:H45)</f>
        <v>0.6444927585345833</v>
      </c>
      <c r="I41" s="4"/>
      <c r="J41" s="75"/>
    </row>
    <row r="42" spans="1:9" ht="14.25">
      <c r="A42" s="58"/>
      <c r="B42" s="94" t="s">
        <v>230</v>
      </c>
      <c r="C42" s="73">
        <v>4</v>
      </c>
      <c r="D42" s="13">
        <f>+SQRT(3.3^2+1.5^2)</f>
        <v>3.6249137920783716</v>
      </c>
      <c r="E42" s="74">
        <v>1.8</v>
      </c>
      <c r="F42" s="4">
        <v>0.15</v>
      </c>
      <c r="G42" s="5">
        <f>+C42*D42*E42*F42</f>
        <v>3.9149068954446413</v>
      </c>
      <c r="H42" s="5">
        <f>+C42*D42*(E42+2*F42)/100</f>
        <v>0.30449275853458324</v>
      </c>
      <c r="I42" s="4"/>
    </row>
    <row r="43" spans="1:9" s="21" customFormat="1" ht="14.25">
      <c r="A43" s="58"/>
      <c r="B43" s="94" t="s">
        <v>231</v>
      </c>
      <c r="C43" s="73">
        <v>2</v>
      </c>
      <c r="D43" s="13">
        <f>4.2+0.2</f>
        <v>4.4</v>
      </c>
      <c r="E43" s="74">
        <v>2.4</v>
      </c>
      <c r="F43" s="4">
        <v>0.15</v>
      </c>
      <c r="G43" s="5">
        <f>+C43*D43*E43*F43</f>
        <v>3.168</v>
      </c>
      <c r="H43" s="5">
        <f>+C43*(D43*E43+(D43+E43)*2*F43)/100</f>
        <v>0.252</v>
      </c>
      <c r="I43" s="59"/>
    </row>
    <row r="44" spans="1:10" ht="14.25">
      <c r="A44" s="58"/>
      <c r="B44" s="94" t="s">
        <v>232</v>
      </c>
      <c r="C44" s="73">
        <v>2</v>
      </c>
      <c r="D44" s="13">
        <v>4.4</v>
      </c>
      <c r="E44" s="74">
        <v>0.2</v>
      </c>
      <c r="F44" s="4">
        <v>0.15</v>
      </c>
      <c r="G44" s="5">
        <f>+C44*D44*E44*F44</f>
        <v>0.264</v>
      </c>
      <c r="H44" s="5">
        <f>+C44*D44*(E44+2*F44)/100</f>
        <v>0.044000000000000004</v>
      </c>
      <c r="I44" s="4"/>
      <c r="J44" s="26"/>
    </row>
    <row r="45" spans="1:10" s="3" customFormat="1" ht="15">
      <c r="A45" s="14"/>
      <c r="B45" s="94" t="s">
        <v>139</v>
      </c>
      <c r="C45" s="73">
        <v>2</v>
      </c>
      <c r="D45" s="13">
        <v>4.4</v>
      </c>
      <c r="E45" s="74">
        <v>0.2</v>
      </c>
      <c r="F45" s="4">
        <v>0.15</v>
      </c>
      <c r="G45" s="5">
        <f>+C45*D45*E45*F45</f>
        <v>0.264</v>
      </c>
      <c r="H45" s="5">
        <f>+C45*D45*(E45+2*F45)/100</f>
        <v>0.044000000000000004</v>
      </c>
      <c r="I45" s="11"/>
      <c r="J45" s="108"/>
    </row>
    <row r="46" spans="1:9" ht="14.25">
      <c r="A46" s="22"/>
      <c r="B46" s="101"/>
      <c r="C46" s="24"/>
      <c r="D46" s="24"/>
      <c r="E46" s="86"/>
      <c r="F46" s="23"/>
      <c r="G46" s="24"/>
      <c r="H46" s="24"/>
      <c r="I46" s="23"/>
    </row>
  </sheetData>
  <sheetProtection/>
  <mergeCells count="8">
    <mergeCell ref="A1:I1"/>
    <mergeCell ref="I3:I4"/>
    <mergeCell ref="G3:G4"/>
    <mergeCell ref="H3:H4"/>
    <mergeCell ref="A3:A4"/>
    <mergeCell ref="B3:B4"/>
    <mergeCell ref="C3:C4"/>
    <mergeCell ref="D3:F3"/>
  </mergeCells>
  <printOptions/>
  <pageMargins left="0.85" right="0.21" top="0.77" bottom="0.4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2.75"/>
  <cols>
    <col min="1" max="1" width="4.421875" style="27" customWidth="1"/>
    <col min="2" max="2" width="15.140625" style="27" customWidth="1"/>
    <col min="3" max="3" width="6.140625" style="150" bestFit="1" customWidth="1"/>
    <col min="4" max="5" width="8.421875" style="27" customWidth="1"/>
    <col min="6" max="6" width="9.28125" style="27" bestFit="1" customWidth="1"/>
    <col min="7" max="7" width="10.8515625" style="27" bestFit="1" customWidth="1"/>
    <col min="8" max="9" width="9.28125" style="27" bestFit="1" customWidth="1"/>
    <col min="10" max="16384" width="9.140625" style="27" customWidth="1"/>
  </cols>
  <sheetData>
    <row r="1" spans="1:9" ht="16.5">
      <c r="A1" s="285" t="s">
        <v>157</v>
      </c>
      <c r="B1" s="285"/>
      <c r="C1" s="285"/>
      <c r="D1" s="285"/>
      <c r="E1" s="285"/>
      <c r="F1" s="285"/>
      <c r="G1" s="285"/>
      <c r="H1" s="285"/>
      <c r="I1" s="285"/>
    </row>
    <row r="2" spans="1:9" ht="14.25">
      <c r="A2" s="25"/>
      <c r="B2" s="28"/>
      <c r="C2" s="10"/>
      <c r="D2" s="26"/>
      <c r="E2" s="26"/>
      <c r="F2" s="26"/>
      <c r="G2" s="26"/>
      <c r="H2" s="26"/>
      <c r="I2" s="26"/>
    </row>
    <row r="3" spans="1:9" ht="12.75" customHeight="1">
      <c r="A3" s="288" t="s">
        <v>1</v>
      </c>
      <c r="B3" s="288" t="s">
        <v>137</v>
      </c>
      <c r="C3" s="300" t="s">
        <v>74</v>
      </c>
      <c r="D3" s="301" t="s">
        <v>75</v>
      </c>
      <c r="E3" s="302"/>
      <c r="F3" s="303"/>
      <c r="G3" s="304" t="s">
        <v>158</v>
      </c>
      <c r="H3" s="304" t="s">
        <v>35</v>
      </c>
      <c r="I3" s="304" t="s">
        <v>36</v>
      </c>
    </row>
    <row r="4" spans="1:9" ht="12.75">
      <c r="A4" s="288"/>
      <c r="B4" s="288"/>
      <c r="C4" s="300" t="s">
        <v>87</v>
      </c>
      <c r="D4" s="61" t="s">
        <v>37</v>
      </c>
      <c r="E4" s="61" t="s">
        <v>38</v>
      </c>
      <c r="F4" s="62" t="s">
        <v>39</v>
      </c>
      <c r="G4" s="305"/>
      <c r="H4" s="305"/>
      <c r="I4" s="305"/>
    </row>
    <row r="5" spans="1:9" ht="25.5" customHeight="1">
      <c r="A5" s="125"/>
      <c r="B5" s="125" t="s">
        <v>6</v>
      </c>
      <c r="C5" s="133"/>
      <c r="D5" s="125"/>
      <c r="E5" s="125"/>
      <c r="F5" s="126"/>
      <c r="G5" s="126"/>
      <c r="H5" s="134">
        <f>SUM(H6:H10)</f>
        <v>68.264</v>
      </c>
      <c r="I5" s="128">
        <f>SUM(I6:I10)</f>
        <v>0.7502213599999998</v>
      </c>
    </row>
    <row r="6" spans="1:9" ht="20.25" customHeight="1">
      <c r="A6" s="4">
        <v>1</v>
      </c>
      <c r="B6" s="4" t="s">
        <v>79</v>
      </c>
      <c r="C6" s="140">
        <v>12</v>
      </c>
      <c r="D6" s="141">
        <f>6*1.2+4*2+8*0.9</f>
        <v>22.4</v>
      </c>
      <c r="E6" s="142">
        <v>0.014</v>
      </c>
      <c r="F6" s="142">
        <v>0.014</v>
      </c>
      <c r="G6" s="144"/>
      <c r="H6" s="145">
        <f>+C6*D6*(E6+F6)*2</f>
        <v>15.052799999999998</v>
      </c>
      <c r="I6" s="142">
        <f>+C6*D6*(E6+F6)*2*0.0014*7.85</f>
        <v>0.16543027199999996</v>
      </c>
    </row>
    <row r="7" spans="1:9" ht="15">
      <c r="A7" s="4">
        <v>2</v>
      </c>
      <c r="B7" s="4" t="s">
        <v>81</v>
      </c>
      <c r="C7" s="140">
        <v>36</v>
      </c>
      <c r="D7" s="141">
        <f>6*1.2+4*1.8+7*0.9</f>
        <v>20.7</v>
      </c>
      <c r="E7" s="142">
        <v>0.014</v>
      </c>
      <c r="F7" s="142">
        <v>0.014</v>
      </c>
      <c r="G7" s="144"/>
      <c r="H7" s="145">
        <f>+C7*D7*(E7+F7)*2</f>
        <v>41.731199999999994</v>
      </c>
      <c r="I7" s="142">
        <f>+C7*D7*(E7+F7)*2*0.0014*7.85</f>
        <v>0.4586258879999999</v>
      </c>
    </row>
    <row r="8" spans="1:9" ht="15">
      <c r="A8" s="4">
        <v>3</v>
      </c>
      <c r="B8" s="4" t="s">
        <v>80</v>
      </c>
      <c r="C8" s="140">
        <v>2</v>
      </c>
      <c r="D8" s="141">
        <f>6*0.6+4*2+8*0.3</f>
        <v>14</v>
      </c>
      <c r="E8" s="142">
        <v>0.014</v>
      </c>
      <c r="F8" s="142">
        <v>0.014</v>
      </c>
      <c r="G8" s="144"/>
      <c r="H8" s="145">
        <f>+C8*D8*(E8+F8)*2</f>
        <v>1.568</v>
      </c>
      <c r="I8" s="142">
        <f>+C8*D8*(E8+F8)*2*0.0014*7.85</f>
        <v>0.01723232</v>
      </c>
    </row>
    <row r="9" spans="1:9" ht="15">
      <c r="A9" s="4">
        <v>4</v>
      </c>
      <c r="B9" s="4" t="s">
        <v>82</v>
      </c>
      <c r="C9" s="140">
        <v>6</v>
      </c>
      <c r="D9" s="141">
        <f>6*0.6+4*1.8+7*0.3</f>
        <v>12.9</v>
      </c>
      <c r="E9" s="142">
        <v>0.014</v>
      </c>
      <c r="F9" s="142">
        <v>0.014</v>
      </c>
      <c r="G9" s="144"/>
      <c r="H9" s="145">
        <f>+C9*D9*(E9+F9)*2</f>
        <v>4.3344000000000005</v>
      </c>
      <c r="I9" s="142">
        <f>+C9*D9*(E9+F9)*2*0.0014*7.85</f>
        <v>0.047635056</v>
      </c>
    </row>
    <row r="10" spans="1:9" ht="15">
      <c r="A10" s="4">
        <v>11</v>
      </c>
      <c r="B10" s="4" t="s">
        <v>83</v>
      </c>
      <c r="C10" s="140">
        <v>12</v>
      </c>
      <c r="D10" s="141">
        <f>4*1.2+4*0.65+0.9</f>
        <v>8.3</v>
      </c>
      <c r="E10" s="142">
        <v>0.014</v>
      </c>
      <c r="F10" s="142">
        <v>0.014</v>
      </c>
      <c r="G10" s="144"/>
      <c r="H10" s="145">
        <f>+C10*D10*(E10+F10)*2</f>
        <v>5.5776</v>
      </c>
      <c r="I10" s="142">
        <f>+C10*D10*(E10+F10)*2*0.0014*7.85</f>
        <v>0.061297824</v>
      </c>
    </row>
    <row r="11" spans="1:9" ht="15">
      <c r="A11" s="114"/>
      <c r="B11" s="114"/>
      <c r="C11" s="151"/>
      <c r="D11" s="152"/>
      <c r="E11" s="153"/>
      <c r="F11" s="153"/>
      <c r="G11" s="154">
        <f>SUM(G12:G16)</f>
        <v>124.8</v>
      </c>
      <c r="H11" s="155"/>
      <c r="I11" s="153"/>
    </row>
    <row r="12" spans="1:9" ht="20.25" customHeight="1">
      <c r="A12" s="4">
        <v>1</v>
      </c>
      <c r="B12" s="4" t="s">
        <v>79</v>
      </c>
      <c r="C12" s="140">
        <f>C6</f>
        <v>12</v>
      </c>
      <c r="D12" s="141"/>
      <c r="E12" s="142">
        <v>1.2</v>
      </c>
      <c r="F12" s="142">
        <v>2</v>
      </c>
      <c r="G12" s="145">
        <f>+C12*E12*F12</f>
        <v>28.799999999999997</v>
      </c>
      <c r="H12" s="144"/>
      <c r="I12" s="142"/>
    </row>
    <row r="13" spans="1:9" ht="15">
      <c r="A13" s="4">
        <v>2</v>
      </c>
      <c r="B13" s="4" t="s">
        <v>81</v>
      </c>
      <c r="C13" s="140">
        <f>C7</f>
        <v>36</v>
      </c>
      <c r="D13" s="141"/>
      <c r="E13" s="142">
        <v>1.2</v>
      </c>
      <c r="F13" s="142">
        <v>1.8</v>
      </c>
      <c r="G13" s="145">
        <f>+C13*E13*F13</f>
        <v>77.75999999999999</v>
      </c>
      <c r="H13" s="144"/>
      <c r="I13" s="142"/>
    </row>
    <row r="14" spans="1:9" ht="15">
      <c r="A14" s="4">
        <v>3</v>
      </c>
      <c r="B14" s="4" t="s">
        <v>80</v>
      </c>
      <c r="C14" s="140">
        <f>C8</f>
        <v>2</v>
      </c>
      <c r="D14" s="141"/>
      <c r="E14" s="142">
        <v>0.6</v>
      </c>
      <c r="F14" s="142">
        <v>2</v>
      </c>
      <c r="G14" s="145">
        <f>+C14*E14*F14</f>
        <v>2.4</v>
      </c>
      <c r="H14" s="144"/>
      <c r="I14" s="142"/>
    </row>
    <row r="15" spans="1:9" ht="15">
      <c r="A15" s="4">
        <v>4</v>
      </c>
      <c r="B15" s="4" t="s">
        <v>82</v>
      </c>
      <c r="C15" s="140">
        <f>C9</f>
        <v>6</v>
      </c>
      <c r="D15" s="141"/>
      <c r="E15" s="142">
        <v>0.6</v>
      </c>
      <c r="F15" s="142">
        <v>1.8</v>
      </c>
      <c r="G15" s="145">
        <f>+C15*E15*F15</f>
        <v>6.4799999999999995</v>
      </c>
      <c r="H15" s="144"/>
      <c r="I15" s="142"/>
    </row>
    <row r="16" spans="1:9" ht="15">
      <c r="A16" s="4">
        <v>5</v>
      </c>
      <c r="B16" s="4" t="s">
        <v>83</v>
      </c>
      <c r="C16" s="140">
        <f>C10</f>
        <v>12</v>
      </c>
      <c r="D16" s="141"/>
      <c r="E16" s="142">
        <v>1.2</v>
      </c>
      <c r="F16" s="142">
        <v>0.65</v>
      </c>
      <c r="G16" s="145">
        <f>+C16*E16*F16</f>
        <v>9.36</v>
      </c>
      <c r="H16" s="144"/>
      <c r="I16" s="142"/>
    </row>
    <row r="17" spans="1:9" ht="15">
      <c r="A17" s="132"/>
      <c r="B17" s="132"/>
      <c r="C17" s="149"/>
      <c r="D17" s="132"/>
      <c r="E17" s="132"/>
      <c r="F17" s="132"/>
      <c r="G17" s="132"/>
      <c r="H17" s="132"/>
      <c r="I17" s="132"/>
    </row>
  </sheetData>
  <sheetProtection/>
  <mergeCells count="8">
    <mergeCell ref="A1:I1"/>
    <mergeCell ref="A3:A4"/>
    <mergeCell ref="B3:B4"/>
    <mergeCell ref="C3:C4"/>
    <mergeCell ref="D3:F3"/>
    <mergeCell ref="H3:H4"/>
    <mergeCell ref="I3:I4"/>
    <mergeCell ref="G3:G4"/>
  </mergeCells>
  <printOptions/>
  <pageMargins left="0.98" right="0.75" top="0.7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view="pageBreakPreview" zoomScale="115" zoomScaleSheetLayoutView="115" zoomScalePageLayoutView="0" workbookViewId="0" topLeftCell="A1">
      <selection activeCell="M23" sqref="M23"/>
    </sheetView>
  </sheetViews>
  <sheetFormatPr defaultColWidth="9.140625" defaultRowHeight="12.75"/>
  <cols>
    <col min="1" max="1" width="4.421875" style="27" customWidth="1"/>
    <col min="2" max="2" width="22.00390625" style="27" customWidth="1"/>
    <col min="3" max="3" width="6.421875" style="27" bestFit="1" customWidth="1"/>
    <col min="4" max="4" width="6.00390625" style="150" bestFit="1" customWidth="1"/>
    <col min="5" max="6" width="8.421875" style="27" customWidth="1"/>
    <col min="7" max="16384" width="9.140625" style="27" customWidth="1"/>
  </cols>
  <sheetData>
    <row r="1" spans="1:10" ht="16.5">
      <c r="A1" s="285" t="s">
        <v>33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4.25">
      <c r="A2" s="25"/>
      <c r="B2" s="28"/>
      <c r="C2" s="28"/>
      <c r="D2" s="10"/>
      <c r="E2" s="26"/>
      <c r="F2" s="26"/>
      <c r="G2" s="26"/>
      <c r="H2" s="26"/>
      <c r="I2" s="26"/>
      <c r="J2" s="26"/>
    </row>
    <row r="3" spans="1:10" ht="12.75" customHeight="1">
      <c r="A3" s="288" t="s">
        <v>1</v>
      </c>
      <c r="B3" s="288" t="s">
        <v>137</v>
      </c>
      <c r="C3" s="300" t="s">
        <v>73</v>
      </c>
      <c r="D3" s="300" t="s">
        <v>74</v>
      </c>
      <c r="E3" s="301" t="s">
        <v>75</v>
      </c>
      <c r="F3" s="302"/>
      <c r="G3" s="303"/>
      <c r="H3" s="304" t="s">
        <v>34</v>
      </c>
      <c r="I3" s="304" t="s">
        <v>35</v>
      </c>
      <c r="J3" s="304" t="s">
        <v>36</v>
      </c>
    </row>
    <row r="4" spans="1:10" ht="12.75">
      <c r="A4" s="288"/>
      <c r="B4" s="288"/>
      <c r="C4" s="300" t="s">
        <v>87</v>
      </c>
      <c r="D4" s="300" t="s">
        <v>87</v>
      </c>
      <c r="E4" s="61" t="s">
        <v>37</v>
      </c>
      <c r="F4" s="61" t="s">
        <v>38</v>
      </c>
      <c r="G4" s="62" t="s">
        <v>39</v>
      </c>
      <c r="H4" s="305"/>
      <c r="I4" s="305"/>
      <c r="J4" s="305"/>
    </row>
    <row r="5" spans="1:10" ht="25.5" customHeight="1">
      <c r="A5" s="125"/>
      <c r="B5" s="125"/>
      <c r="C5" s="133"/>
      <c r="D5" s="133"/>
      <c r="E5" s="125"/>
      <c r="F5" s="125"/>
      <c r="G5" s="126"/>
      <c r="H5" s="126"/>
      <c r="I5" s="134">
        <f>SUM(I7:I37)</f>
        <v>36.44842965358451</v>
      </c>
      <c r="J5" s="134">
        <f>SUM(J7:J37)</f>
        <v>0.5481607466709577</v>
      </c>
    </row>
    <row r="6" spans="1:10" ht="25.5" customHeight="1">
      <c r="A6" s="135"/>
      <c r="B6" s="125" t="s">
        <v>40</v>
      </c>
      <c r="C6" s="136"/>
      <c r="D6" s="136"/>
      <c r="E6" s="135"/>
      <c r="F6" s="135"/>
      <c r="G6" s="137"/>
      <c r="H6" s="137"/>
      <c r="I6" s="138"/>
      <c r="J6" s="139"/>
    </row>
    <row r="7" spans="1:11" ht="20.25" customHeight="1">
      <c r="A7" s="4">
        <v>1</v>
      </c>
      <c r="B7" s="4" t="s">
        <v>41</v>
      </c>
      <c r="C7" s="140">
        <v>1</v>
      </c>
      <c r="D7" s="140">
        <v>9</v>
      </c>
      <c r="E7" s="141">
        <v>0.07</v>
      </c>
      <c r="F7" s="142">
        <v>0.025</v>
      </c>
      <c r="G7" s="143">
        <v>0.0015</v>
      </c>
      <c r="H7" s="144"/>
      <c r="I7" s="145">
        <f>+C7*D7*E7*3.14*F7</f>
        <v>0.04945500000000001</v>
      </c>
      <c r="J7" s="143">
        <f>+C7*D7*E7*3.14*F7*G7*7.85</f>
        <v>0.0005823326250000002</v>
      </c>
      <c r="K7" s="146"/>
    </row>
    <row r="8" spans="1:10" ht="15">
      <c r="A8" s="4">
        <v>2</v>
      </c>
      <c r="B8" s="147" t="s">
        <v>42</v>
      </c>
      <c r="C8" s="140">
        <v>1</v>
      </c>
      <c r="D8" s="140">
        <v>4</v>
      </c>
      <c r="E8" s="141">
        <f>2*(3.6^2+1.95^2)^0.5+0.38</f>
        <v>8.568406438373708</v>
      </c>
      <c r="F8" s="142">
        <v>0.015</v>
      </c>
      <c r="G8" s="142">
        <v>0.0015</v>
      </c>
      <c r="H8" s="144"/>
      <c r="I8" s="145">
        <f>+C8*D8*E8*3.14*F8</f>
        <v>1.6142877729896066</v>
      </c>
      <c r="J8" s="143">
        <f>+C8*D8*E8*3.14*F8*G8*7.85</f>
        <v>0.019008238526952617</v>
      </c>
    </row>
    <row r="9" spans="1:10" ht="28.5">
      <c r="A9" s="4">
        <v>3</v>
      </c>
      <c r="B9" s="147" t="s">
        <v>43</v>
      </c>
      <c r="C9" s="140">
        <v>1</v>
      </c>
      <c r="D9" s="140">
        <f>+D7</f>
        <v>9</v>
      </c>
      <c r="E9" s="141">
        <f>2*0.75+0.05</f>
        <v>1.55</v>
      </c>
      <c r="F9" s="142">
        <v>0.05</v>
      </c>
      <c r="G9" s="142">
        <v>0.005</v>
      </c>
      <c r="H9" s="144"/>
      <c r="I9" s="145">
        <f>+D9*E9*(F9+G9)*2</f>
        <v>1.5345000000000002</v>
      </c>
      <c r="J9" s="142">
        <f>+D9*E9*F9*G9*7.85</f>
        <v>0.027376875000000002</v>
      </c>
    </row>
    <row r="10" spans="1:10" ht="15">
      <c r="A10" s="4">
        <v>4</v>
      </c>
      <c r="B10" s="147" t="s">
        <v>44</v>
      </c>
      <c r="C10" s="140">
        <v>1</v>
      </c>
      <c r="D10" s="140">
        <f>9*2</f>
        <v>18</v>
      </c>
      <c r="E10" s="141">
        <v>0.1</v>
      </c>
      <c r="F10" s="142">
        <v>0.1</v>
      </c>
      <c r="G10" s="142">
        <v>0.005</v>
      </c>
      <c r="H10" s="144"/>
      <c r="I10" s="145">
        <f>+C10*D10*E10*F10*2</f>
        <v>0.36000000000000004</v>
      </c>
      <c r="J10" s="142">
        <f>+D10*E10*F10*G10*7.85</f>
        <v>0.007065</v>
      </c>
    </row>
    <row r="11" spans="1:10" ht="15">
      <c r="A11" s="4"/>
      <c r="B11" s="125" t="s">
        <v>45</v>
      </c>
      <c r="C11" s="148"/>
      <c r="D11" s="140"/>
      <c r="E11" s="141"/>
      <c r="F11" s="142"/>
      <c r="G11" s="142"/>
      <c r="H11" s="144"/>
      <c r="I11" s="145"/>
      <c r="J11" s="142"/>
    </row>
    <row r="12" spans="1:11" ht="20.25" customHeight="1">
      <c r="A12" s="4">
        <v>1</v>
      </c>
      <c r="B12" s="4" t="s">
        <v>41</v>
      </c>
      <c r="C12" s="140">
        <v>2</v>
      </c>
      <c r="D12" s="140">
        <v>10</v>
      </c>
      <c r="E12" s="141">
        <v>0.07</v>
      </c>
      <c r="F12" s="142">
        <v>0.025</v>
      </c>
      <c r="G12" s="143">
        <v>0.0015</v>
      </c>
      <c r="H12" s="144"/>
      <c r="I12" s="145">
        <f>+C12*D12*E12*3.14*F12</f>
        <v>0.10990000000000003</v>
      </c>
      <c r="J12" s="143">
        <f>+C12*D12*E12*3.14*F12*G12*7.85</f>
        <v>0.0012940725000000002</v>
      </c>
      <c r="K12" s="146"/>
    </row>
    <row r="13" spans="1:10" ht="15">
      <c r="A13" s="4">
        <v>2</v>
      </c>
      <c r="B13" s="147" t="s">
        <v>42</v>
      </c>
      <c r="C13" s="140">
        <v>2</v>
      </c>
      <c r="D13" s="140">
        <v>4</v>
      </c>
      <c r="E13" s="141">
        <f>2*((3.3^2+1.8^2)^0.5+0.38)</f>
        <v>8.277978451685001</v>
      </c>
      <c r="F13" s="142">
        <v>0.015</v>
      </c>
      <c r="G13" s="142">
        <v>0.0015</v>
      </c>
      <c r="H13" s="144"/>
      <c r="I13" s="145">
        <f>+C13*D13*E13*3.14*F13</f>
        <v>3.1191422805949087</v>
      </c>
      <c r="J13" s="143">
        <f>+C13*D13*E13*3.14*F13*G13*7.85</f>
        <v>0.03672790035400505</v>
      </c>
    </row>
    <row r="14" spans="1:10" ht="28.5">
      <c r="A14" s="4">
        <v>3</v>
      </c>
      <c r="B14" s="147" t="s">
        <v>43</v>
      </c>
      <c r="C14" s="140">
        <v>2</v>
      </c>
      <c r="D14" s="140">
        <f>+D12</f>
        <v>10</v>
      </c>
      <c r="E14" s="141">
        <f>2*0.75+0.05</f>
        <v>1.55</v>
      </c>
      <c r="F14" s="142">
        <v>0.05</v>
      </c>
      <c r="G14" s="142">
        <v>0.005</v>
      </c>
      <c r="H14" s="144"/>
      <c r="I14" s="145">
        <f>+D14*E14*(F14+G14)*2</f>
        <v>1.705</v>
      </c>
      <c r="J14" s="142">
        <f>C14*D14*E14*F14*G14*7.85</f>
        <v>0.0608375</v>
      </c>
    </row>
    <row r="15" spans="1:10" ht="15">
      <c r="A15" s="4">
        <v>4</v>
      </c>
      <c r="B15" s="147" t="s">
        <v>44</v>
      </c>
      <c r="C15" s="140">
        <v>2</v>
      </c>
      <c r="D15" s="140">
        <f>+D14*2</f>
        <v>20</v>
      </c>
      <c r="E15" s="141">
        <v>0.1</v>
      </c>
      <c r="F15" s="142">
        <v>0.1</v>
      </c>
      <c r="G15" s="142">
        <v>0.005</v>
      </c>
      <c r="H15" s="144"/>
      <c r="I15" s="145">
        <f>+C15*D15*E15*F15*2</f>
        <v>0.8</v>
      </c>
      <c r="J15" s="142">
        <f>C15*D15*E15*F15*G15*7.85</f>
        <v>0.0157</v>
      </c>
    </row>
    <row r="16" spans="1:10" ht="15">
      <c r="A16" s="4"/>
      <c r="B16" s="125" t="s">
        <v>46</v>
      </c>
      <c r="C16" s="148"/>
      <c r="D16" s="140"/>
      <c r="E16" s="141"/>
      <c r="F16" s="142"/>
      <c r="G16" s="142"/>
      <c r="H16" s="144"/>
      <c r="I16" s="145">
        <f>+D16*E16*(F16+G16)*2</f>
        <v>0</v>
      </c>
      <c r="J16" s="142">
        <f>+D16*E16*F16*G16*7.85</f>
        <v>0</v>
      </c>
    </row>
    <row r="17" spans="1:11" ht="20.25" customHeight="1">
      <c r="A17" s="4">
        <v>1</v>
      </c>
      <c r="B17" s="4" t="s">
        <v>41</v>
      </c>
      <c r="C17" s="140">
        <v>1</v>
      </c>
      <c r="D17" s="140">
        <v>3</v>
      </c>
      <c r="E17" s="141">
        <v>0.07</v>
      </c>
      <c r="F17" s="142">
        <v>0.025</v>
      </c>
      <c r="G17" s="143">
        <v>0.0015</v>
      </c>
      <c r="H17" s="144"/>
      <c r="I17" s="145">
        <f>+C17*D17*E17*3.14*F17</f>
        <v>0.016485000000000003</v>
      </c>
      <c r="J17" s="143">
        <f>+C17*D17*E17*3.14*F17*G17*7.85</f>
        <v>0.00019411087500000005</v>
      </c>
      <c r="K17" s="146"/>
    </row>
    <row r="18" spans="1:10" ht="15">
      <c r="A18" s="4">
        <v>2</v>
      </c>
      <c r="B18" s="147" t="s">
        <v>42</v>
      </c>
      <c r="C18" s="140">
        <v>1</v>
      </c>
      <c r="D18" s="140">
        <v>4</v>
      </c>
      <c r="E18" s="141">
        <f>2.24</f>
        <v>2.24</v>
      </c>
      <c r="F18" s="142">
        <v>0.015</v>
      </c>
      <c r="G18" s="142">
        <v>0.0015</v>
      </c>
      <c r="H18" s="144"/>
      <c r="I18" s="145">
        <f>+C18*D18*E18*3.14*F18</f>
        <v>0.422016</v>
      </c>
      <c r="J18" s="143">
        <f>+C18*D18*E18*3.14*F18*G18*7.85</f>
        <v>0.0049692384</v>
      </c>
    </row>
    <row r="19" spans="1:10" ht="28.5">
      <c r="A19" s="4">
        <v>3</v>
      </c>
      <c r="B19" s="147" t="s">
        <v>43</v>
      </c>
      <c r="C19" s="140">
        <v>1</v>
      </c>
      <c r="D19" s="140">
        <f>+D17</f>
        <v>3</v>
      </c>
      <c r="E19" s="141">
        <f>2*0.75+0.05</f>
        <v>1.55</v>
      </c>
      <c r="F19" s="142">
        <v>0.05</v>
      </c>
      <c r="G19" s="142">
        <v>0.005</v>
      </c>
      <c r="H19" s="144"/>
      <c r="I19" s="145">
        <f>+D19*E19*(F19+G19)*2</f>
        <v>0.5115000000000001</v>
      </c>
      <c r="J19" s="142">
        <f>C19*D19*E19*F19*G19*7.85</f>
        <v>0.009125625</v>
      </c>
    </row>
    <row r="20" spans="1:10" ht="15">
      <c r="A20" s="4">
        <v>4</v>
      </c>
      <c r="B20" s="147" t="s">
        <v>44</v>
      </c>
      <c r="C20" s="140">
        <v>1</v>
      </c>
      <c r="D20" s="140">
        <f>+D19*2</f>
        <v>6</v>
      </c>
      <c r="E20" s="141">
        <v>0.1</v>
      </c>
      <c r="F20" s="142">
        <v>0.1</v>
      </c>
      <c r="G20" s="142">
        <v>0.005</v>
      </c>
      <c r="H20" s="144"/>
      <c r="I20" s="145">
        <f>+C20*D20*E20*F20*2</f>
        <v>0.12000000000000002</v>
      </c>
      <c r="J20" s="142">
        <f>C20*D20*E20*F20*G20*7.85</f>
        <v>0.0023550000000000003</v>
      </c>
    </row>
    <row r="21" spans="1:10" ht="15">
      <c r="A21" s="4"/>
      <c r="B21" s="125" t="s">
        <v>47</v>
      </c>
      <c r="C21" s="148"/>
      <c r="D21" s="140"/>
      <c r="E21" s="141"/>
      <c r="F21" s="142"/>
      <c r="G21" s="142"/>
      <c r="H21" s="144"/>
      <c r="I21" s="145">
        <f>+D21*E21*(F21+G21)*2</f>
        <v>0</v>
      </c>
      <c r="J21" s="142">
        <f>+D21*E21*F21*G21*7.85</f>
        <v>0</v>
      </c>
    </row>
    <row r="22" spans="1:11" ht="20.25" customHeight="1">
      <c r="A22" s="4">
        <v>1</v>
      </c>
      <c r="B22" s="4" t="s">
        <v>41</v>
      </c>
      <c r="C22" s="140">
        <v>3</v>
      </c>
      <c r="D22" s="140">
        <v>4</v>
      </c>
      <c r="E22" s="141">
        <v>0.07</v>
      </c>
      <c r="F22" s="142">
        <v>0.025</v>
      </c>
      <c r="G22" s="143">
        <v>0.0015</v>
      </c>
      <c r="H22" s="144"/>
      <c r="I22" s="145">
        <f>+C22*D22*E22*3.14*F22</f>
        <v>0.06594000000000001</v>
      </c>
      <c r="J22" s="143">
        <f>+C22*D22*E22*3.14*F22*G22*7.85</f>
        <v>0.0007764435000000002</v>
      </c>
      <c r="K22" s="146"/>
    </row>
    <row r="23" spans="1:10" ht="15">
      <c r="A23" s="4">
        <v>2</v>
      </c>
      <c r="B23" s="147" t="s">
        <v>42</v>
      </c>
      <c r="C23" s="140">
        <v>3</v>
      </c>
      <c r="D23" s="140">
        <v>4</v>
      </c>
      <c r="E23" s="141">
        <f>2.8</f>
        <v>2.8</v>
      </c>
      <c r="F23" s="142">
        <v>0.015</v>
      </c>
      <c r="G23" s="142">
        <v>0.0015</v>
      </c>
      <c r="H23" s="144"/>
      <c r="I23" s="145">
        <f>+C23*D23*E23*3.14*F23</f>
        <v>1.5825599999999997</v>
      </c>
      <c r="J23" s="143">
        <f>+C23*D23*E23*3.14*F23*G23*7.85</f>
        <v>0.018634643999999995</v>
      </c>
    </row>
    <row r="24" spans="1:10" ht="28.5">
      <c r="A24" s="4">
        <v>3</v>
      </c>
      <c r="B24" s="147" t="s">
        <v>43</v>
      </c>
      <c r="C24" s="140">
        <v>3</v>
      </c>
      <c r="D24" s="140">
        <f>+D22</f>
        <v>4</v>
      </c>
      <c r="E24" s="141">
        <f>2*0.75+0.05</f>
        <v>1.55</v>
      </c>
      <c r="F24" s="142">
        <v>0.05</v>
      </c>
      <c r="G24" s="142">
        <v>0.005</v>
      </c>
      <c r="H24" s="144"/>
      <c r="I24" s="145">
        <f>+D24*E24*(F24+G24)*2</f>
        <v>0.682</v>
      </c>
      <c r="J24" s="142">
        <f>C24*D24*E24*F24*G24*7.85</f>
        <v>0.0365025</v>
      </c>
    </row>
    <row r="25" spans="1:10" ht="15">
      <c r="A25" s="4">
        <v>4</v>
      </c>
      <c r="B25" s="147" t="s">
        <v>44</v>
      </c>
      <c r="C25" s="140">
        <v>3</v>
      </c>
      <c r="D25" s="140">
        <f>+D24*2</f>
        <v>8</v>
      </c>
      <c r="E25" s="141">
        <v>0.1</v>
      </c>
      <c r="F25" s="142">
        <v>0.1</v>
      </c>
      <c r="G25" s="142">
        <v>0.005</v>
      </c>
      <c r="H25" s="144"/>
      <c r="I25" s="145">
        <f>+C25*D25*E25*F25*2</f>
        <v>0.4800000000000001</v>
      </c>
      <c r="J25" s="142">
        <f>C25*D25*E25*F25*G25*7.85</f>
        <v>0.009420000000000001</v>
      </c>
    </row>
    <row r="26" spans="1:10" ht="15">
      <c r="A26" s="4"/>
      <c r="B26" s="125" t="s">
        <v>156</v>
      </c>
      <c r="C26" s="148"/>
      <c r="D26" s="140"/>
      <c r="E26" s="141"/>
      <c r="F26" s="142"/>
      <c r="G26" s="142"/>
      <c r="H26" s="144"/>
      <c r="I26" s="145">
        <f>+D26*E26*(F26+G26)*2</f>
        <v>0</v>
      </c>
      <c r="J26" s="142">
        <f>+D26*E26*F26*G26*7.85</f>
        <v>0</v>
      </c>
    </row>
    <row r="27" spans="1:11" ht="20.25" customHeight="1">
      <c r="A27" s="4">
        <v>1</v>
      </c>
      <c r="B27" s="4" t="s">
        <v>41</v>
      </c>
      <c r="C27" s="140">
        <v>2</v>
      </c>
      <c r="D27" s="140">
        <v>5</v>
      </c>
      <c r="E27" s="141">
        <v>0.07</v>
      </c>
      <c r="F27" s="142">
        <v>0.025</v>
      </c>
      <c r="G27" s="143">
        <v>0.0015</v>
      </c>
      <c r="H27" s="144"/>
      <c r="I27" s="145">
        <f>+C27*D27*E27*3.14*F27</f>
        <v>0.05495000000000001</v>
      </c>
      <c r="J27" s="143">
        <f>+C27*D27*E27*3.14*F27*G27*7.85</f>
        <v>0.0006470362500000001</v>
      </c>
      <c r="K27" s="146"/>
    </row>
    <row r="28" spans="1:10" ht="15">
      <c r="A28" s="4">
        <v>2</v>
      </c>
      <c r="B28" s="147" t="s">
        <v>42</v>
      </c>
      <c r="C28" s="140">
        <f>+C27</f>
        <v>2</v>
      </c>
      <c r="D28" s="140">
        <v>4</v>
      </c>
      <c r="E28" s="141">
        <f>3.98</f>
        <v>3.98</v>
      </c>
      <c r="F28" s="142">
        <v>0.015</v>
      </c>
      <c r="G28" s="142">
        <v>0.0015</v>
      </c>
      <c r="H28" s="144"/>
      <c r="I28" s="145">
        <f>+C28*D28*E28*3.14*F28</f>
        <v>1.499664</v>
      </c>
      <c r="J28" s="143">
        <f>+C28*D28*E28*3.14*F28*G28*7.85</f>
        <v>0.0176585436</v>
      </c>
    </row>
    <row r="29" spans="1:10" ht="28.5">
      <c r="A29" s="4">
        <v>3</v>
      </c>
      <c r="B29" s="147" t="s">
        <v>43</v>
      </c>
      <c r="C29" s="140">
        <v>2</v>
      </c>
      <c r="D29" s="140">
        <f>+D27</f>
        <v>5</v>
      </c>
      <c r="E29" s="141">
        <f>2*0.75+0.05</f>
        <v>1.55</v>
      </c>
      <c r="F29" s="142">
        <v>0.05</v>
      </c>
      <c r="G29" s="142">
        <v>0.005</v>
      </c>
      <c r="H29" s="144"/>
      <c r="I29" s="145">
        <f>+D29*E29*(F29+G29)*2</f>
        <v>0.8525</v>
      </c>
      <c r="J29" s="142">
        <f>C29*D29*E29*F29*G29*7.85</f>
        <v>0.03041875</v>
      </c>
    </row>
    <row r="30" spans="1:10" ht="15">
      <c r="A30" s="4">
        <v>4</v>
      </c>
      <c r="B30" s="147" t="s">
        <v>44</v>
      </c>
      <c r="C30" s="140">
        <v>2</v>
      </c>
      <c r="D30" s="140">
        <f>+D29*2</f>
        <v>10</v>
      </c>
      <c r="E30" s="141">
        <v>0.1</v>
      </c>
      <c r="F30" s="142">
        <v>0.1</v>
      </c>
      <c r="G30" s="142">
        <v>0.005</v>
      </c>
      <c r="H30" s="144"/>
      <c r="I30" s="145">
        <f>+C30*D30*E30*F30*2</f>
        <v>0.4</v>
      </c>
      <c r="J30" s="142">
        <f>C30*D30*E30*F30*G30*7.85</f>
        <v>0.00785</v>
      </c>
    </row>
    <row r="31" spans="1:10" ht="15">
      <c r="A31" s="4">
        <v>5</v>
      </c>
      <c r="B31" s="165" t="s">
        <v>52</v>
      </c>
      <c r="C31" s="140">
        <v>1</v>
      </c>
      <c r="D31" s="140">
        <v>1</v>
      </c>
      <c r="E31" s="145">
        <v>34.644</v>
      </c>
      <c r="F31" s="142">
        <v>0.06</v>
      </c>
      <c r="G31" s="143">
        <v>0.0015</v>
      </c>
      <c r="H31" s="144"/>
      <c r="I31" s="145">
        <f>+C31*D31*E31*3.14*F31</f>
        <v>6.5269296</v>
      </c>
      <c r="J31" s="143">
        <f>+C31*D31*E31*3.14*F31*G31*7.85</f>
        <v>0.07685459603999999</v>
      </c>
    </row>
    <row r="32" spans="1:10" ht="12.75">
      <c r="A32" s="168"/>
      <c r="B32" s="169" t="s">
        <v>7</v>
      </c>
      <c r="C32" s="168"/>
      <c r="D32" s="170"/>
      <c r="E32" s="168"/>
      <c r="F32" s="168"/>
      <c r="G32" s="168"/>
      <c r="H32" s="168"/>
      <c r="I32" s="168"/>
      <c r="J32" s="168"/>
    </row>
    <row r="33" spans="1:10" ht="15">
      <c r="A33" s="168">
        <v>1</v>
      </c>
      <c r="B33" s="168" t="s">
        <v>8</v>
      </c>
      <c r="C33" s="168">
        <v>4</v>
      </c>
      <c r="D33" s="170">
        <v>2</v>
      </c>
      <c r="E33" s="168">
        <v>2.4</v>
      </c>
      <c r="F33" s="171">
        <v>0.08</v>
      </c>
      <c r="G33" s="172">
        <v>0.0015</v>
      </c>
      <c r="H33" s="173"/>
      <c r="I33" s="174">
        <f>+C33*D33*E33*3.14*F33</f>
        <v>4.82304</v>
      </c>
      <c r="J33" s="172">
        <f>+C33*D33*E33*3.14*F33*G33*7.85</f>
        <v>0.056791296</v>
      </c>
    </row>
    <row r="34" spans="1:10" ht="15">
      <c r="A34" s="168">
        <v>2</v>
      </c>
      <c r="B34" s="168" t="s">
        <v>9</v>
      </c>
      <c r="C34" s="168">
        <v>4</v>
      </c>
      <c r="D34" s="170">
        <v>6</v>
      </c>
      <c r="E34" s="168">
        <f>0.2-0.08</f>
        <v>0.12000000000000001</v>
      </c>
      <c r="F34" s="168">
        <v>0.025</v>
      </c>
      <c r="G34" s="172">
        <v>0.0015</v>
      </c>
      <c r="H34" s="173"/>
      <c r="I34" s="174">
        <f>+C34*D34*E34*3.14*F34</f>
        <v>0.22608000000000003</v>
      </c>
      <c r="J34" s="172">
        <f>+C34*D34*E34*3.14*F34*G34*7.85</f>
        <v>0.0026620920000000005</v>
      </c>
    </row>
    <row r="35" spans="1:10" ht="12.75">
      <c r="A35" s="168"/>
      <c r="B35" s="169" t="s">
        <v>10</v>
      </c>
      <c r="C35" s="168"/>
      <c r="D35" s="170"/>
      <c r="E35" s="168"/>
      <c r="F35" s="168"/>
      <c r="G35" s="168"/>
      <c r="H35" s="168"/>
      <c r="I35" s="168"/>
      <c r="J35" s="168"/>
    </row>
    <row r="36" spans="1:10" ht="15">
      <c r="A36" s="168">
        <v>1</v>
      </c>
      <c r="B36" s="168" t="s">
        <v>8</v>
      </c>
      <c r="C36" s="168">
        <v>4</v>
      </c>
      <c r="D36" s="170">
        <v>4</v>
      </c>
      <c r="E36" s="168">
        <v>2.1</v>
      </c>
      <c r="F36" s="171">
        <v>0.08</v>
      </c>
      <c r="G36" s="172">
        <v>0.0015</v>
      </c>
      <c r="H36" s="173"/>
      <c r="I36" s="174">
        <f>+C36*D36*E36*3.14*F36</f>
        <v>8.44032</v>
      </c>
      <c r="J36" s="172">
        <f>+C36*D36*E36*3.14*F36*G36*7.85</f>
        <v>0.099384768</v>
      </c>
    </row>
    <row r="37" spans="1:10" ht="15">
      <c r="A37" s="168">
        <v>2</v>
      </c>
      <c r="B37" s="168" t="s">
        <v>9</v>
      </c>
      <c r="C37" s="168">
        <v>4</v>
      </c>
      <c r="D37" s="170">
        <f>3*4</f>
        <v>12</v>
      </c>
      <c r="E37" s="168">
        <f>0.2-0.08</f>
        <v>0.12000000000000001</v>
      </c>
      <c r="F37" s="168">
        <v>0.025</v>
      </c>
      <c r="G37" s="172">
        <v>0.0015</v>
      </c>
      <c r="H37" s="173"/>
      <c r="I37" s="174">
        <f>+C37*D37*E37*3.14*F37</f>
        <v>0.45216000000000006</v>
      </c>
      <c r="J37" s="172">
        <f>+C37*D37*E37*3.14*F37*G37*7.85</f>
        <v>0.005324184000000001</v>
      </c>
    </row>
  </sheetData>
  <sheetProtection/>
  <mergeCells count="9">
    <mergeCell ref="A1:J1"/>
    <mergeCell ref="A3:A4"/>
    <mergeCell ref="B3:B4"/>
    <mergeCell ref="D3:D4"/>
    <mergeCell ref="E3:G3"/>
    <mergeCell ref="I3:I4"/>
    <mergeCell ref="J3:J4"/>
    <mergeCell ref="H3:H4"/>
    <mergeCell ref="C3:C4"/>
  </mergeCells>
  <printOptions/>
  <pageMargins left="0.69" right="0.25" top="0.7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2.75"/>
  <cols>
    <col min="1" max="1" width="4.421875" style="27" customWidth="1"/>
    <col min="2" max="2" width="13.28125" style="27" customWidth="1"/>
    <col min="3" max="3" width="6.00390625" style="27" bestFit="1" customWidth="1"/>
    <col min="4" max="5" width="9.140625" style="27" customWidth="1"/>
    <col min="6" max="6" width="9.140625" style="27" hidden="1" customWidth="1"/>
    <col min="7" max="7" width="12.00390625" style="27" customWidth="1"/>
    <col min="8" max="8" width="7.57421875" style="27" customWidth="1"/>
    <col min="9" max="9" width="9.421875" style="27" bestFit="1" customWidth="1"/>
    <col min="10" max="10" width="8.00390625" style="27" customWidth="1"/>
    <col min="11" max="11" width="11.57421875" style="27" customWidth="1"/>
    <col min="12" max="16384" width="9.140625" style="27" customWidth="1"/>
  </cols>
  <sheetData>
    <row r="1" spans="1:11" ht="16.5">
      <c r="A1" s="285" t="s">
        <v>216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0" ht="14.25">
      <c r="A2" s="25"/>
      <c r="B2" s="28"/>
      <c r="C2" s="26"/>
      <c r="D2" s="26"/>
      <c r="E2" s="29"/>
      <c r="F2" s="26"/>
      <c r="G2" s="26"/>
      <c r="H2" s="26"/>
      <c r="I2" s="26"/>
      <c r="J2" s="26"/>
    </row>
    <row r="3" spans="1:11" ht="12.75" customHeight="1">
      <c r="A3" s="288" t="s">
        <v>1</v>
      </c>
      <c r="B3" s="288" t="s">
        <v>137</v>
      </c>
      <c r="C3" s="288" t="s">
        <v>74</v>
      </c>
      <c r="D3" s="289" t="s">
        <v>75</v>
      </c>
      <c r="E3" s="289"/>
      <c r="F3" s="306" t="s">
        <v>217</v>
      </c>
      <c r="G3" s="290" t="s">
        <v>182</v>
      </c>
      <c r="H3" s="306" t="s">
        <v>218</v>
      </c>
      <c r="I3" s="306"/>
      <c r="J3" s="307" t="s">
        <v>219</v>
      </c>
      <c r="K3" s="308"/>
    </row>
    <row r="4" spans="1:11" ht="24">
      <c r="A4" s="288"/>
      <c r="B4" s="288"/>
      <c r="C4" s="288" t="s">
        <v>87</v>
      </c>
      <c r="D4" s="62" t="s">
        <v>220</v>
      </c>
      <c r="E4" s="64" t="s">
        <v>155</v>
      </c>
      <c r="F4" s="306"/>
      <c r="G4" s="291"/>
      <c r="H4" s="124" t="s">
        <v>74</v>
      </c>
      <c r="I4" s="124" t="s">
        <v>221</v>
      </c>
      <c r="J4" s="124" t="s">
        <v>74</v>
      </c>
      <c r="K4" s="124" t="s">
        <v>221</v>
      </c>
    </row>
    <row r="5" spans="1:11" ht="20.25" customHeight="1">
      <c r="A5" s="125"/>
      <c r="B5" s="125"/>
      <c r="C5" s="125"/>
      <c r="D5" s="126"/>
      <c r="E5" s="127"/>
      <c r="F5" s="128"/>
      <c r="G5" s="128"/>
      <c r="H5" s="128"/>
      <c r="I5" s="92">
        <f>SUM(I6:I20)</f>
        <v>43.33300000000001</v>
      </c>
      <c r="J5" s="92"/>
      <c r="K5" s="92">
        <f>SUM(K6:K20)</f>
        <v>101.57500000000002</v>
      </c>
    </row>
    <row r="6" spans="1:11" ht="15">
      <c r="A6" s="129"/>
      <c r="B6" s="129" t="s">
        <v>91</v>
      </c>
      <c r="C6" s="129">
        <v>1</v>
      </c>
      <c r="D6" s="129">
        <v>4</v>
      </c>
      <c r="E6" s="129">
        <v>2.9</v>
      </c>
      <c r="F6" s="129">
        <f aca="true" t="shared" si="0" ref="F6:F20">+C6*D6*E6</f>
        <v>11.6</v>
      </c>
      <c r="G6" s="129">
        <v>0.23</v>
      </c>
      <c r="H6" s="129">
        <v>1</v>
      </c>
      <c r="I6" s="129">
        <f>+H6*(D6+2*E6)*G6</f>
        <v>2.2540000000000004</v>
      </c>
      <c r="J6" s="129">
        <f aca="true" t="shared" si="1" ref="J6:J20">+C6-H6</f>
        <v>0</v>
      </c>
      <c r="K6" s="129">
        <f>+J6*(D6+2*E6)*G6</f>
        <v>0</v>
      </c>
    </row>
    <row r="7" spans="1:13" ht="15">
      <c r="A7" s="130"/>
      <c r="B7" s="130" t="s">
        <v>112</v>
      </c>
      <c r="C7" s="130">
        <v>5</v>
      </c>
      <c r="D7" s="130">
        <v>1.2</v>
      </c>
      <c r="E7" s="130">
        <v>2.9</v>
      </c>
      <c r="F7" s="129">
        <f t="shared" si="0"/>
        <v>17.4</v>
      </c>
      <c r="G7" s="130">
        <v>0.23</v>
      </c>
      <c r="H7" s="130">
        <v>5</v>
      </c>
      <c r="I7" s="129">
        <f>+H7*(D7+2*E7)*G7</f>
        <v>8.05</v>
      </c>
      <c r="J7" s="129">
        <f t="shared" si="1"/>
        <v>0</v>
      </c>
      <c r="K7" s="129">
        <f>+J7*(D7+2*E7)*G7</f>
        <v>0</v>
      </c>
      <c r="M7" s="131"/>
    </row>
    <row r="8" spans="1:11" ht="15">
      <c r="A8" s="130"/>
      <c r="B8" s="130" t="s">
        <v>162</v>
      </c>
      <c r="C8" s="130">
        <v>14</v>
      </c>
      <c r="D8" s="130">
        <v>1.2</v>
      </c>
      <c r="E8" s="130">
        <v>2.7</v>
      </c>
      <c r="F8" s="129">
        <f t="shared" si="0"/>
        <v>45.36000000000001</v>
      </c>
      <c r="G8" s="130">
        <v>0.23</v>
      </c>
      <c r="H8" s="130"/>
      <c r="I8" s="129">
        <f>+H8*(D8+2*E8)*G8</f>
        <v>0</v>
      </c>
      <c r="J8" s="129">
        <f t="shared" si="1"/>
        <v>14</v>
      </c>
      <c r="K8" s="129">
        <f>+J8*(D8+2*E8)*G8</f>
        <v>21.252000000000002</v>
      </c>
    </row>
    <row r="9" spans="1:11" ht="15">
      <c r="A9" s="130"/>
      <c r="B9" s="130" t="s">
        <v>208</v>
      </c>
      <c r="C9" s="130">
        <v>8</v>
      </c>
      <c r="D9" s="130">
        <v>0.9</v>
      </c>
      <c r="E9" s="130">
        <v>2.4</v>
      </c>
      <c r="F9" s="129">
        <f t="shared" si="0"/>
        <v>17.28</v>
      </c>
      <c r="G9" s="130">
        <v>0.13</v>
      </c>
      <c r="H9" s="130">
        <v>2</v>
      </c>
      <c r="I9" s="129">
        <f>+H9*(D9+2*E9)*G9</f>
        <v>1.4820000000000002</v>
      </c>
      <c r="J9" s="129">
        <f t="shared" si="1"/>
        <v>6</v>
      </c>
      <c r="K9" s="129">
        <f>+J9*(D9+2*E9)*G9</f>
        <v>4.446000000000001</v>
      </c>
    </row>
    <row r="10" spans="1:11" ht="15">
      <c r="A10" s="130"/>
      <c r="B10" s="130" t="s">
        <v>30</v>
      </c>
      <c r="C10" s="130">
        <v>1</v>
      </c>
      <c r="D10" s="130">
        <v>0.8</v>
      </c>
      <c r="E10" s="130">
        <v>1.6</v>
      </c>
      <c r="F10" s="129">
        <f t="shared" si="0"/>
        <v>1.2800000000000002</v>
      </c>
      <c r="G10" s="130">
        <v>0.13</v>
      </c>
      <c r="H10" s="130">
        <v>1</v>
      </c>
      <c r="I10" s="129">
        <f>+H10*(D10+2*E10)*G10</f>
        <v>0.52</v>
      </c>
      <c r="J10" s="129">
        <f t="shared" si="1"/>
        <v>0</v>
      </c>
      <c r="K10" s="129">
        <f>+J10*(D10+2*E10)*G10</f>
        <v>0</v>
      </c>
    </row>
    <row r="11" spans="1:11" ht="15">
      <c r="A11" s="130"/>
      <c r="B11" s="130" t="s">
        <v>195</v>
      </c>
      <c r="C11" s="130">
        <v>12</v>
      </c>
      <c r="D11" s="130">
        <v>1.2</v>
      </c>
      <c r="E11" s="130">
        <v>2</v>
      </c>
      <c r="F11" s="129">
        <f t="shared" si="0"/>
        <v>28.799999999999997</v>
      </c>
      <c r="G11" s="130">
        <v>0.23</v>
      </c>
      <c r="H11" s="130">
        <v>12</v>
      </c>
      <c r="I11" s="129">
        <f>+H11*(D11+E11)*2*G11</f>
        <v>17.664000000000005</v>
      </c>
      <c r="J11" s="129">
        <f t="shared" si="1"/>
        <v>0</v>
      </c>
      <c r="K11" s="129">
        <f>+J11*(D11+E11)*2*G11</f>
        <v>0</v>
      </c>
    </row>
    <row r="12" spans="1:11" ht="15">
      <c r="A12" s="130"/>
      <c r="B12" s="130" t="s">
        <v>174</v>
      </c>
      <c r="C12" s="130">
        <v>36</v>
      </c>
      <c r="D12" s="130">
        <v>1.2</v>
      </c>
      <c r="E12" s="130">
        <v>1.8</v>
      </c>
      <c r="F12" s="129">
        <f t="shared" si="0"/>
        <v>77.75999999999999</v>
      </c>
      <c r="G12" s="130">
        <v>0.23</v>
      </c>
      <c r="H12" s="130"/>
      <c r="I12" s="129">
        <f>+H12*(D12+E12)*2*G12</f>
        <v>0</v>
      </c>
      <c r="J12" s="129">
        <f t="shared" si="1"/>
        <v>36</v>
      </c>
      <c r="K12" s="129">
        <f>+J12*(D12+E12)*2*G12</f>
        <v>49.68</v>
      </c>
    </row>
    <row r="13" spans="1:11" ht="15">
      <c r="A13" s="130"/>
      <c r="B13" s="130" t="s">
        <v>197</v>
      </c>
      <c r="C13" s="130">
        <v>2</v>
      </c>
      <c r="D13" s="130">
        <v>0.6</v>
      </c>
      <c r="E13" s="130">
        <v>2</v>
      </c>
      <c r="F13" s="129">
        <f t="shared" si="0"/>
        <v>2.4</v>
      </c>
      <c r="G13" s="130">
        <v>0.23</v>
      </c>
      <c r="H13" s="130">
        <v>2</v>
      </c>
      <c r="I13" s="129">
        <f>+H13*(D13+E13)*2*G13</f>
        <v>2.3920000000000003</v>
      </c>
      <c r="J13" s="129">
        <f t="shared" si="1"/>
        <v>0</v>
      </c>
      <c r="K13" s="129">
        <f>+J13*(D13+E13)*2*G13</f>
        <v>0</v>
      </c>
    </row>
    <row r="14" spans="1:11" ht="15">
      <c r="A14" s="130"/>
      <c r="B14" s="130" t="s">
        <v>175</v>
      </c>
      <c r="C14" s="130">
        <v>6</v>
      </c>
      <c r="D14" s="130">
        <v>0.6</v>
      </c>
      <c r="E14" s="130">
        <v>1.8</v>
      </c>
      <c r="F14" s="129">
        <f t="shared" si="0"/>
        <v>6.4799999999999995</v>
      </c>
      <c r="G14" s="130">
        <v>0.23</v>
      </c>
      <c r="H14" s="130"/>
      <c r="I14" s="129">
        <f>+H14*(D14+E14)*2*G14</f>
        <v>0</v>
      </c>
      <c r="J14" s="129">
        <f t="shared" si="1"/>
        <v>6</v>
      </c>
      <c r="K14" s="129">
        <f>+J14*(D14+E14)*2*G14</f>
        <v>6.624</v>
      </c>
    </row>
    <row r="15" spans="1:11" ht="15">
      <c r="A15" s="130"/>
      <c r="B15" s="130" t="s">
        <v>192</v>
      </c>
      <c r="C15" s="130">
        <v>12</v>
      </c>
      <c r="D15" s="130">
        <v>1.2</v>
      </c>
      <c r="E15" s="130">
        <v>0.65</v>
      </c>
      <c r="F15" s="129">
        <f t="shared" si="0"/>
        <v>9.36</v>
      </c>
      <c r="G15" s="130">
        <v>0.23</v>
      </c>
      <c r="H15" s="130">
        <v>3</v>
      </c>
      <c r="I15" s="129">
        <f>+H15*(D15+E15)*2*G15</f>
        <v>2.5530000000000004</v>
      </c>
      <c r="J15" s="129">
        <f t="shared" si="1"/>
        <v>9</v>
      </c>
      <c r="K15" s="129">
        <f>+J15*(D15+E15)*2*G15</f>
        <v>7.659000000000002</v>
      </c>
    </row>
    <row r="16" spans="1:11" ht="15">
      <c r="A16" s="166"/>
      <c r="B16" s="94" t="s">
        <v>48</v>
      </c>
      <c r="C16" s="166">
        <v>8</v>
      </c>
      <c r="D16" s="166">
        <v>2.3</v>
      </c>
      <c r="E16" s="166">
        <v>2</v>
      </c>
      <c r="F16" s="167">
        <f>+C16*D16*E16</f>
        <v>36.8</v>
      </c>
      <c r="G16" s="166">
        <v>0.23</v>
      </c>
      <c r="H16" s="166">
        <v>2</v>
      </c>
      <c r="I16" s="129">
        <f>+H16*(D16+2*E16)*G16</f>
        <v>2.898</v>
      </c>
      <c r="J16" s="129">
        <f>+C16-H16</f>
        <v>6</v>
      </c>
      <c r="K16" s="129">
        <f>+J16*D16*G16</f>
        <v>3.174</v>
      </c>
    </row>
    <row r="17" spans="1:11" ht="15">
      <c r="A17" s="166"/>
      <c r="B17" s="94" t="s">
        <v>49</v>
      </c>
      <c r="C17" s="166">
        <v>16</v>
      </c>
      <c r="D17" s="166">
        <v>2</v>
      </c>
      <c r="E17" s="166">
        <v>2</v>
      </c>
      <c r="F17" s="167">
        <f>+C17*D17*E17</f>
        <v>64</v>
      </c>
      <c r="G17" s="166">
        <v>0.23</v>
      </c>
      <c r="H17" s="166">
        <v>4</v>
      </c>
      <c r="I17" s="129">
        <f>+H17*(D17+2*E17)*G17</f>
        <v>5.5200000000000005</v>
      </c>
      <c r="J17" s="129">
        <f>+C17-H17</f>
        <v>12</v>
      </c>
      <c r="K17" s="129">
        <f>+J17*D17*G17</f>
        <v>5.5200000000000005</v>
      </c>
    </row>
    <row r="18" spans="1:11" ht="15">
      <c r="A18" s="166"/>
      <c r="B18" s="94" t="s">
        <v>50</v>
      </c>
      <c r="C18" s="166">
        <v>6</v>
      </c>
      <c r="D18" s="166">
        <v>1.2</v>
      </c>
      <c r="E18" s="166">
        <v>1.8</v>
      </c>
      <c r="F18" s="167">
        <f>+C18*D18*E18</f>
        <v>12.959999999999999</v>
      </c>
      <c r="G18" s="166">
        <v>0.23</v>
      </c>
      <c r="H18" s="166"/>
      <c r="I18" s="129"/>
      <c r="J18" s="129">
        <f>+C18-H18</f>
        <v>6</v>
      </c>
      <c r="K18" s="129">
        <f>+J18*D18*G18</f>
        <v>1.656</v>
      </c>
    </row>
    <row r="19" spans="1:11" ht="15">
      <c r="A19" s="130"/>
      <c r="B19" s="130" t="s">
        <v>31</v>
      </c>
      <c r="C19" s="130">
        <v>1</v>
      </c>
      <c r="D19" s="130">
        <v>4</v>
      </c>
      <c r="E19" s="130">
        <v>9</v>
      </c>
      <c r="F19" s="129">
        <f t="shared" si="0"/>
        <v>36</v>
      </c>
      <c r="G19" s="130">
        <v>0.23</v>
      </c>
      <c r="H19" s="130"/>
      <c r="I19" s="129">
        <f>+H19*(D19+2*E19)*G19</f>
        <v>0</v>
      </c>
      <c r="J19" s="129">
        <f t="shared" si="1"/>
        <v>1</v>
      </c>
      <c r="K19" s="129">
        <f>+J19*D19*G19</f>
        <v>0.92</v>
      </c>
    </row>
    <row r="20" spans="1:11" ht="15">
      <c r="A20" s="130"/>
      <c r="B20" s="130" t="s">
        <v>32</v>
      </c>
      <c r="C20" s="130">
        <v>1</v>
      </c>
      <c r="D20" s="130">
        <v>2.8</v>
      </c>
      <c r="E20" s="130">
        <v>9.95</v>
      </c>
      <c r="F20" s="129">
        <f t="shared" si="0"/>
        <v>27.859999999999996</v>
      </c>
      <c r="G20" s="130">
        <v>0.23</v>
      </c>
      <c r="H20" s="130"/>
      <c r="I20" s="129">
        <f>+H20*(D20+2*E20)*G20</f>
        <v>0</v>
      </c>
      <c r="J20" s="129">
        <f t="shared" si="1"/>
        <v>1</v>
      </c>
      <c r="K20" s="129">
        <f>+J20*D20*G20</f>
        <v>0.644</v>
      </c>
    </row>
    <row r="21" spans="1:1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46"/>
    </row>
  </sheetData>
  <sheetProtection/>
  <mergeCells count="9">
    <mergeCell ref="F3:F4"/>
    <mergeCell ref="G3:G4"/>
    <mergeCell ref="H3:I3"/>
    <mergeCell ref="A1:K1"/>
    <mergeCell ref="J3:K3"/>
    <mergeCell ref="A3:A4"/>
    <mergeCell ref="B3:B4"/>
    <mergeCell ref="C3:C4"/>
    <mergeCell ref="D3:E3"/>
  </mergeCells>
  <printOptions/>
  <pageMargins left="0.75" right="0.33" top="0.7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Dutoan Club</cp:lastModifiedBy>
  <cp:lastPrinted>2016-08-16T09:20:43Z</cp:lastPrinted>
  <dcterms:created xsi:type="dcterms:W3CDTF">2010-04-07T17:48:32Z</dcterms:created>
  <dcterms:modified xsi:type="dcterms:W3CDTF">2017-07-02T08:27:15Z</dcterms:modified>
  <cp:category/>
  <cp:version/>
  <cp:contentType/>
  <cp:contentStatus/>
</cp:coreProperties>
</file>